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23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1'!$B$6:$U$353</definedName>
    <definedName name="_Hlk155693198" localSheetId="0">'Plan Adqu ICFE 2024 VR 1'!$M$135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14" i="11" l="1"/>
  <c r="R324" i="11"/>
  <c r="R326" i="11"/>
  <c r="R82" i="11" l="1"/>
  <c r="R132" i="11"/>
  <c r="R81" i="11"/>
  <c r="R276" i="11"/>
  <c r="R269" i="11"/>
  <c r="R248" i="11"/>
  <c r="R257" i="11"/>
  <c r="R134" i="11"/>
  <c r="R133" i="11"/>
  <c r="R117" i="11"/>
  <c r="R112" i="11" l="1"/>
  <c r="R121" i="11"/>
  <c r="R77" i="11"/>
  <c r="R76" i="11" s="1"/>
  <c r="R160" i="11"/>
  <c r="R148" i="11"/>
  <c r="R278" i="11"/>
  <c r="R279" i="11"/>
  <c r="R277" i="11" l="1"/>
  <c r="R289" i="11"/>
  <c r="R285" i="11"/>
  <c r="R274" i="11"/>
  <c r="R275" i="11"/>
  <c r="R273" i="11"/>
  <c r="R272" i="11" s="1"/>
  <c r="R353" i="11"/>
  <c r="R335" i="11"/>
  <c r="R344" i="11"/>
  <c r="R343" i="11"/>
  <c r="R334" i="11"/>
  <c r="R333" i="11"/>
  <c r="R331" i="11"/>
  <c r="R332" i="11"/>
  <c r="R330" i="11"/>
  <c r="R317" i="11"/>
  <c r="R323" i="11"/>
  <c r="R316" i="11"/>
  <c r="R315" i="11"/>
  <c r="R351" i="11"/>
  <c r="R346" i="11"/>
  <c r="R348" i="11"/>
  <c r="R75" i="11" l="1"/>
  <c r="R228" i="11"/>
  <c r="R229" i="11"/>
  <c r="R338" i="11" l="1"/>
  <c r="R339" i="11"/>
  <c r="R337" i="11" l="1"/>
  <c r="R342" i="11"/>
  <c r="R340" i="11"/>
  <c r="R336" i="11"/>
  <c r="R341" i="11"/>
  <c r="R136" i="11" l="1"/>
  <c r="R138" i="11"/>
  <c r="R207" i="11" l="1"/>
  <c r="R206" i="11" s="1"/>
  <c r="R204" i="11"/>
  <c r="R203" i="11" s="1"/>
  <c r="R201" i="11"/>
  <c r="R188" i="11"/>
  <c r="R155" i="11"/>
  <c r="R99" i="11"/>
  <c r="R98" i="11" s="1"/>
  <c r="R95" i="11"/>
  <c r="M303" i="11" l="1"/>
  <c r="M301" i="11"/>
  <c r="M299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7" i="11" l="1"/>
  <c r="R240" i="11"/>
  <c r="R174" i="11"/>
  <c r="R217" i="11" l="1"/>
  <c r="R211" i="11"/>
  <c r="R313" i="11"/>
  <c r="R329" i="11"/>
  <c r="R115" i="11"/>
  <c r="R145" i="11"/>
  <c r="R109" i="11"/>
  <c r="R288" i="11" l="1"/>
  <c r="R287" i="11" s="1"/>
  <c r="R286" i="11" s="1"/>
  <c r="R328" i="11"/>
  <c r="T328" i="11" s="1"/>
  <c r="R312" i="11"/>
  <c r="T312" i="11" s="1"/>
  <c r="R307" i="11"/>
  <c r="R304" i="11"/>
  <c r="R302" i="11"/>
  <c r="R300" i="11"/>
  <c r="R298" i="11"/>
  <c r="R293" i="11"/>
  <c r="R291" i="11"/>
  <c r="R283" i="11"/>
  <c r="R282" i="11" s="1"/>
  <c r="R281" i="11" s="1"/>
  <c r="R261" i="11"/>
  <c r="R260" i="11" s="1"/>
  <c r="R259" i="11" s="1"/>
  <c r="R256" i="11"/>
  <c r="R255" i="11" s="1"/>
  <c r="R254" i="11" s="1"/>
  <c r="R252" i="11"/>
  <c r="R251" i="11" s="1"/>
  <c r="R250" i="11" s="1"/>
  <c r="R247" i="11"/>
  <c r="R246" i="11" s="1"/>
  <c r="R245" i="11" s="1"/>
  <c r="R236" i="11"/>
  <c r="R222" i="11"/>
  <c r="R220" i="11"/>
  <c r="R216" i="11"/>
  <c r="R214" i="11"/>
  <c r="R210" i="11" s="1"/>
  <c r="R200" i="11"/>
  <c r="R194" i="11"/>
  <c r="R192" i="11"/>
  <c r="R191" i="11" s="1"/>
  <c r="R187" i="11"/>
  <c r="R185" i="11"/>
  <c r="R184" i="11" s="1"/>
  <c r="R181" i="11"/>
  <c r="R180" i="11" s="1"/>
  <c r="R170" i="11"/>
  <c r="R168" i="11"/>
  <c r="R164" i="11"/>
  <c r="R163" i="11" s="1"/>
  <c r="R162" i="11" s="1"/>
  <c r="R159" i="11"/>
  <c r="R147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6" i="11"/>
  <c r="R225" i="11" s="1"/>
  <c r="R154" i="11"/>
  <c r="R49" i="11"/>
  <c r="R268" i="11"/>
  <c r="R258" i="11" s="1"/>
  <c r="R219" i="11"/>
  <c r="R290" i="11"/>
  <c r="R54" i="11"/>
  <c r="R167" i="11"/>
  <c r="R166" i="11" s="1"/>
  <c r="R59" i="11"/>
  <c r="R90" i="11"/>
  <c r="R199" i="11"/>
  <c r="R179" i="11"/>
  <c r="R297" i="11"/>
  <c r="R296" i="11" s="1"/>
  <c r="R311" i="11"/>
  <c r="R310" i="11" s="1"/>
  <c r="R309" i="11" s="1"/>
  <c r="T309" i="11" s="1"/>
  <c r="R103" i="11"/>
  <c r="R102" i="11" s="1"/>
  <c r="R101" i="11" s="1"/>
  <c r="R249" i="11"/>
  <c r="R9" i="11" l="1"/>
  <c r="R295" i="11"/>
  <c r="R42" i="11"/>
  <c r="R25" i="11" s="1"/>
  <c r="R107" i="11"/>
  <c r="R89" i="11" s="1"/>
  <c r="R198" i="11"/>
  <c r="R224" i="11"/>
  <c r="R8" i="11" l="1"/>
  <c r="R197" i="11"/>
  <c r="R24" i="11"/>
  <c r="R7" i="11" s="1"/>
  <c r="R196" i="11" l="1"/>
  <c r="T196" i="11" s="1"/>
  <c r="T7" i="1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  <author>Raul Atehortua Puerta</author>
    <author>Fredy Santisteban Sandoval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78" authorId="2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>Se recibe de:</t>
        </r>
        <r>
          <rPr>
            <sz val="9"/>
            <color indexed="81"/>
            <rFont val="Tahoma"/>
            <family val="2"/>
          </rPr>
          <t xml:space="preserve"> ADQUISICION DE LICENCIAMIENTO PARA LA INTEGRACIÓN DE FIRMAS ELECTRONICAS.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 xml:space="preserve">ADQUISICION DE LICENCIAMIENTO PARA LA INTEGRACIÓN DE FIRMAS ELECTRONICAS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Certificados digitales para las firmas de contratos de arrendamiento en Bogotá  y a nivel nacional.</t>
        </r>
      </text>
    </comment>
    <comment ref="R8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SOPORTE Y MANTENIMIENTO ESPECIALIZADO SOBRE LA INFRAESTRUCTURA DE SERVIDORES INFORMATICOS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$ 30.000.000
</t>
        </r>
        <r>
          <rPr>
            <b/>
            <sz val="9"/>
            <color indexed="81"/>
            <rFont val="Tahoma"/>
            <family val="2"/>
          </rPr>
          <t>Se recibe del rubro A-02-02-02-008-003 Item: "</t>
        </r>
        <r>
          <rPr>
            <sz val="9"/>
            <color indexed="81"/>
            <rFont val="Tahoma"/>
            <family val="2"/>
          </rPr>
          <t>Actualizaciones con soporte para la plataforma de sistema de gestion documental"</t>
        </r>
      </text>
    </comment>
    <comment ref="R112" authorId="1" shapeId="0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2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 113303
Valor: $ 24.000.000
Se traslada al item: 
“PRESTAR CON PLENA AUTONOMÍA ADMINISTRATIVA LOS SERVICIOS TÉCNICOS EN ADMINISTRACIÓN PÚBLICA, EN EL AREA DE PLANEACION PARA LA GESTIÓN ADMINISTRATIVA,  DOCUMENTAL Y LAS ACTIVIDADES DE PROGRAMACIÓN PRESUPUESTAL, SEGUIMIENTO A PLANES INSTITUCIONALES Y DEMÁS CORRESPONDIENTES AL MODELO INTEGRADO DE PLANEACIÓN Y GESTIÓN MIPG”
Oficio: 113303
Valor: $ 9.600.000
Se traslada al item: 
PRESTAR CON PLENA AUTONOMÍA ADMINISTRATIVA LOS SERVICIOS TECNOLÓGICOS DEL ÁREA APOYANDO EL ANÁLISIS, DEPURACIÓN Y COMPROBACIÓN DE LA CARTERA DE LOS USUARIOS DEL INSTITUTO DE CASAS FISCALES DEL EJERCITO
Oficio: 113915
Valor: $ 30.000.000
Se traslada al rubro A-02-02-01-004-007 EQUIPO Y APARATOS DE RADIO, RELEVISION Y COMUNICACIONES
Item: "Solucion de correo electronico"</t>
        </r>
      </text>
    </comment>
    <comment ref="R1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3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24.000.000
Se recibe de: ACTUALIZACIONES CON SOPORTE PARA LA PLATAFORMA DE SISTEMA DE GESTION DOCUMENTAL</t>
        </r>
      </text>
    </comment>
    <comment ref="R144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9.600.000
Se recibe de: ACTUALIZACIONES CON SOPORTE PARA LA PLATAFORMA DE SISTEMA DE GESTION DOCUMENTAL</t>
        </r>
      </text>
    </comment>
    <comment ref="R14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6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5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6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</t>
        </r>
      </text>
    </comment>
    <comment ref="T27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1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Se traslada de: 
SERVICIOS DE SOPORTE
Oficio: 101586
Valor: $ 1,847,957,40 (SE TRASLADA DE ELEMENTO A SESVICIOS DE LIMPIEZA NACIONAL)</t>
        </r>
      </text>
    </comment>
    <comment ref="R2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101586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1,847,957,40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 DE VIGILANCIA Y SEGURIDAD PRIVADA SIN ARMAS PARA EL CONJUNTO RESIDENCIAL “HEROES DE COLOMBIA” EN LA CIUDAD DE BOGOTÁ (Vigencias futuras del 2023-2024)
</t>
        </r>
      </text>
    </comment>
    <comment ref="R277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4" authorId="1" shapeId="0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Oficio: 114296
Valor: $ 276.453.645,92
Se recibe Traslado de:  Construcción de la fase II de un edificio de Vivienda Fiscal En Nilo - Cundinamarca
</t>
        </r>
      </text>
    </comment>
    <comment ref="R315" authorId="1" shapeId="0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2" authorId="1" shapeId="0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2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3" authorId="1" shapeId="0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4" authorId="3" shapeId="0">
      <text>
        <r>
          <rPr>
            <b/>
            <sz val="9"/>
            <color indexed="81"/>
            <rFont val="Tahoma"/>
            <charset val="1"/>
          </rPr>
          <t>Fredy Santisteban Sandoval:</t>
        </r>
        <r>
          <rPr>
            <sz val="9"/>
            <color indexed="81"/>
            <rFont val="Tahoma"/>
            <charset val="1"/>
          </rPr>
          <t xml:space="preserve">
Oficio: 114382
Valor: $ 712.261.158
Se Traslada a:  Construcción de la fase II de un edificio de Vivienda Fiscal En Buenavista - La Guajita 
Oficio: 114296
Valor: $ 276.453.645,92
Se Traslada a: Construcción de un edificio de Viivenda Fiscal de 5 pisos y 20 apartamentos en Cucuta. 
</t>
        </r>
      </text>
    </comment>
    <comment ref="R326" authorId="3" shapeId="0">
      <text>
        <r>
          <rPr>
            <b/>
            <sz val="9"/>
            <color indexed="81"/>
            <rFont val="Tahoma"/>
            <charset val="1"/>
          </rPr>
          <t>Fredy Santisteban Sandoval:</t>
        </r>
        <r>
          <rPr>
            <sz val="9"/>
            <color indexed="81"/>
            <rFont val="Tahoma"/>
            <charset val="1"/>
          </rPr>
          <t xml:space="preserve">
Oficio: 114382
Valor: $ 712.261.158
Se recibe Traslado de: Construcción de la fase II de un edificio de Vivienda Fiscal En Nilo - Cundinamarca
</t>
        </r>
      </text>
    </comment>
    <comment ref="R33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4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4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4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6" authorId="1" shapeId="0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8" authorId="1" shapeId="0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5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51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<sst xmlns="http://schemas.openxmlformats.org/spreadsheetml/2006/main" count="168430" uniqueCount="113315">
  <si>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</si>
  <si>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</si>
  <si>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</si>
  <si>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</si>
  <si>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</si>
  <si>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</si>
  <si>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</si>
  <si>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</si>
  <si>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</si>
  <si>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</si>
  <si>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</si>
  <si>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</si>
  <si>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</si>
  <si>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</si>
  <si>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</si>
  <si>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</si>
  <si>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</si>
  <si>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</si>
  <si>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</si>
  <si>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</si>
  <si>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</si>
  <si>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</si>
  <si>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</si>
  <si>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</si>
  <si>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</si>
  <si>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</si>
  <si>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</si>
  <si>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</si>
  <si>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</si>
  <si>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</si>
  <si>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</si>
  <si>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</si>
  <si>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</si>
  <si>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</si>
  <si>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</si>
  <si>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</si>
  <si>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</si>
  <si>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</si>
  <si>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</si>
  <si>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</si>
  <si>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</si>
  <si>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</si>
  <si>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</si>
  <si>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</si>
  <si>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</si>
  <si>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</si>
  <si>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</si>
  <si>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</si>
  <si>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</si>
  <si>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</si>
  <si>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</si>
  <si>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</si>
  <si>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</si>
  <si>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</si>
  <si>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</si>
  <si>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</si>
  <si>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</si>
  <si>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</si>
  <si>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</si>
  <si>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</si>
  <si>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</si>
  <si>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</si>
  <si>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</si>
  <si>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</si>
  <si>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</si>
  <si>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</si>
  <si>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</si>
  <si>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</si>
  <si>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</si>
  <si>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</si>
  <si>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</si>
  <si>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</si>
  <si>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</si>
  <si>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</si>
  <si>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</si>
  <si>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</si>
  <si>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</si>
  <si>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</si>
  <si>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</si>
  <si>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</si>
  <si>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</si>
  <si>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</si>
  <si>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</si>
  <si>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</si>
  <si>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</si>
  <si>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</si>
  <si>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</si>
  <si>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</si>
  <si>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</si>
  <si>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</si>
  <si>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</si>
  <si>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</si>
  <si>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</si>
  <si>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</si>
  <si>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</si>
  <si>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</si>
  <si>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</si>
  <si>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</si>
  <si>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</si>
  <si>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</si>
  <si>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</si>
  <si>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</si>
  <si>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</si>
  <si>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</si>
  <si>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</si>
  <si>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</si>
  <si>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</si>
  <si>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</si>
  <si>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</si>
  <si>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</si>
  <si>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</si>
  <si>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</si>
  <si>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</si>
  <si>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</si>
  <si>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</si>
  <si>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</si>
  <si>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</si>
  <si>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</si>
  <si>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</si>
  <si>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</si>
  <si>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</si>
  <si>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</si>
  <si>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</si>
  <si>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</si>
  <si>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</si>
  <si>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</si>
  <si>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</si>
  <si>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</si>
  <si>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</si>
  <si>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</si>
  <si>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</si>
  <si>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</si>
  <si>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</si>
  <si>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</si>
  <si>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</si>
  <si>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</si>
  <si>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</si>
  <si>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</si>
  <si>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</si>
  <si>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</si>
  <si>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</si>
  <si>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</si>
  <si>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</si>
  <si>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</si>
  <si>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</si>
  <si>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</si>
  <si>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</si>
  <si>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</si>
  <si>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</si>
  <si>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</si>
  <si>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</si>
  <si>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</si>
  <si>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</si>
  <si>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</si>
  <si>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</si>
  <si>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</si>
  <si>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</si>
  <si>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</si>
  <si>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</si>
  <si>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</si>
  <si>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</si>
  <si>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</si>
  <si>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</si>
  <si>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</si>
  <si>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</si>
  <si>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</si>
  <si>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</si>
  <si>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</si>
  <si>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</si>
  <si>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</si>
  <si>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</si>
  <si>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</si>
  <si>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</si>
  <si>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</si>
  <si>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</si>
  <si>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</si>
  <si>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</si>
  <si>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</si>
  <si>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</si>
  <si>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</si>
  <si>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</si>
  <si>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</si>
  <si>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</si>
  <si>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</si>
  <si>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</si>
  <si>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</si>
  <si>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</si>
  <si>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</si>
  <si>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</si>
  <si>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</si>
  <si>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</si>
  <si>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</si>
  <si>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</si>
  <si>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</si>
  <si>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</si>
  <si>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</si>
  <si>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</si>
  <si>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</si>
  <si>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</si>
  <si>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</si>
  <si>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</si>
  <si>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</si>
  <si>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</si>
  <si>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</si>
  <si>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</si>
  <si>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</si>
  <si>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</si>
  <si>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</si>
  <si>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</si>
  <si>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</si>
  <si>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</si>
  <si>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</si>
  <si>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</si>
  <si>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</si>
  <si>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</si>
  <si>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</si>
  <si>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</si>
  <si>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</si>
  <si>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</si>
  <si>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</si>
  <si>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</si>
  <si>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</si>
  <si>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</si>
  <si>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</si>
  <si>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</si>
  <si>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</si>
  <si>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</si>
  <si>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</si>
  <si>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</si>
  <si>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</si>
  <si>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</si>
  <si>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</si>
  <si>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</si>
  <si>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</si>
  <si>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</si>
  <si>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</si>
  <si>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</si>
  <si>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</si>
  <si>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</si>
  <si>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</si>
  <si>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</si>
  <si>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</si>
  <si>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</si>
  <si>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</si>
  <si>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</si>
  <si>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</si>
  <si>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</si>
  <si>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</si>
  <si>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</si>
  <si>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</si>
  <si>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</si>
  <si>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</si>
  <si>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</si>
  <si>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</si>
  <si>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</si>
  <si>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</si>
  <si>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</si>
  <si>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</si>
  <si>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</si>
  <si>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</si>
  <si>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</si>
  <si>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</si>
  <si>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</si>
  <si>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</si>
  <si>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</si>
  <si>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</si>
  <si>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</si>
  <si>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</si>
  <si>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</si>
  <si>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</si>
  <si>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</si>
  <si>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</si>
  <si>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</si>
  <si>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</si>
  <si>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</si>
  <si>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</si>
  <si>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</si>
  <si>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</si>
  <si>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</si>
  <si>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</si>
  <si>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</si>
  <si>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</si>
  <si>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</si>
  <si>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</si>
  <si>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</si>
  <si>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</si>
  <si>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</si>
  <si>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</si>
  <si>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</si>
  <si>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</si>
  <si>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</si>
  <si>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</si>
  <si>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</si>
  <si>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</si>
  <si>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</si>
  <si>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</si>
  <si>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</si>
  <si>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</si>
  <si>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</si>
  <si>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</si>
  <si>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</si>
  <si>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</si>
  <si>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</si>
  <si>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</si>
  <si>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</si>
  <si>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</si>
  <si>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</si>
  <si>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</si>
  <si>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</si>
  <si>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</si>
  <si>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</si>
  <si>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</si>
  <si>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</si>
  <si>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</si>
  <si>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</si>
  <si>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</si>
  <si>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</si>
  <si>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</si>
  <si>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</si>
  <si>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</si>
  <si>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</si>
  <si>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</si>
  <si>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</si>
  <si>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</si>
  <si>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</si>
  <si>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</si>
  <si>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</si>
  <si>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</si>
  <si>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</si>
  <si>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</si>
  <si>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</si>
  <si>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</si>
  <si>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</si>
  <si>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</si>
  <si>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</si>
  <si>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</si>
  <si>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</si>
  <si>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</si>
  <si>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</si>
  <si>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</si>
  <si>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</si>
  <si>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</si>
  <si>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</si>
  <si>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</si>
  <si>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</si>
  <si>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</si>
  <si>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</si>
  <si>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</si>
  <si>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</si>
  <si>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</si>
  <si>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</si>
  <si>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</si>
  <si>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</si>
  <si>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</si>
  <si>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</si>
  <si>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</si>
  <si>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</si>
  <si>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</si>
  <si>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</si>
  <si>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</si>
  <si>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</si>
  <si>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</si>
  <si>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</si>
  <si>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</si>
  <si>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</si>
  <si>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</si>
  <si>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</si>
  <si>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</si>
  <si>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</si>
  <si>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</si>
  <si>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</si>
  <si>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</si>
  <si>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</si>
  <si>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</si>
  <si>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</si>
  <si>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</si>
  <si>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</si>
  <si>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</si>
  <si>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</si>
  <si>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</si>
  <si>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</si>
  <si>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</si>
  <si>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</si>
  <si>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</si>
  <si>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</si>
  <si>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</si>
  <si>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</si>
  <si>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</si>
  <si>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</si>
  <si>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</si>
  <si>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</si>
  <si>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</si>
  <si>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</si>
  <si>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</si>
  <si>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</si>
  <si>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</si>
  <si>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</si>
  <si>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</si>
  <si>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</si>
  <si>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</si>
  <si>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</si>
  <si>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</si>
  <si>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</si>
  <si>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</si>
  <si>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</si>
  <si>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</si>
  <si>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</si>
  <si>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</si>
  <si>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</si>
  <si>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</si>
  <si>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</si>
  <si>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</si>
  <si>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</si>
  <si>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</si>
  <si>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</si>
  <si>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</si>
  <si>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</si>
  <si>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</si>
  <si>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</si>
  <si>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</si>
  <si>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</si>
  <si>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</si>
  <si>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</si>
  <si>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</si>
  <si>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</si>
  <si>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</si>
  <si>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</si>
  <si>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</si>
  <si>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</si>
  <si>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</si>
  <si>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</si>
  <si>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</si>
  <si>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</si>
  <si>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</si>
  <si>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</si>
  <si>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</si>
  <si>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</si>
  <si>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</si>
  <si>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</si>
  <si>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</si>
  <si>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</si>
  <si>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</si>
  <si>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</si>
  <si>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</si>
  <si>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</si>
  <si>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</si>
  <si>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</si>
  <si>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</si>
  <si>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</si>
  <si>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</si>
  <si>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</si>
  <si>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</si>
  <si>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</si>
  <si>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</si>
  <si>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</si>
  <si>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</si>
  <si>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</si>
  <si>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</si>
  <si>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</si>
  <si>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</si>
  <si>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</si>
  <si>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</si>
  <si>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</si>
  <si>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</si>
  <si>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</si>
  <si>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</si>
  <si>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</si>
  <si>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</si>
  <si>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</si>
  <si>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</si>
  <si>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</si>
  <si>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</si>
  <si>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</si>
  <si>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</si>
  <si>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</si>
  <si>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</si>
  <si>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</si>
  <si>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</si>
  <si>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</si>
  <si>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</si>
  <si>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</si>
  <si>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</si>
  <si>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</si>
  <si>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</si>
  <si>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</si>
  <si>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</si>
  <si>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</si>
  <si>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</si>
  <si>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</si>
  <si>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</si>
  <si>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</si>
  <si>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</si>
  <si>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</si>
  <si>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</si>
  <si>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</si>
  <si>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</si>
  <si>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</si>
  <si>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</si>
  <si>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</si>
  <si>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</si>
  <si>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</si>
  <si>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</si>
  <si>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</si>
  <si>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</si>
  <si>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</si>
  <si>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</si>
  <si>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</si>
  <si>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</si>
  <si>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</si>
  <si>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</si>
  <si>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</si>
  <si>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</si>
  <si>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</si>
  <si>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</si>
  <si>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</si>
  <si>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</si>
  <si>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</si>
  <si>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</si>
  <si>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</si>
  <si>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</si>
  <si>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</si>
  <si>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</si>
  <si>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</si>
  <si>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</si>
  <si>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</si>
  <si>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</si>
  <si>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</si>
  <si>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</si>
  <si>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</si>
  <si>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</si>
  <si>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</si>
  <si>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</si>
  <si>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</si>
  <si>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</si>
  <si>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</si>
  <si>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</si>
  <si>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</si>
  <si>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</si>
  <si>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</si>
  <si>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</si>
  <si>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</si>
  <si>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</si>
  <si>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</si>
  <si>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</si>
  <si>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</si>
  <si>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</si>
  <si>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</si>
  <si>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</si>
  <si>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</si>
  <si>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</si>
  <si>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</si>
  <si>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</si>
  <si>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</si>
  <si>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</si>
  <si>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</si>
  <si>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</si>
  <si>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</si>
  <si>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</si>
  <si>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</si>
  <si>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</si>
  <si>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</si>
  <si>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</si>
  <si>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</si>
  <si>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</si>
  <si>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</si>
  <si>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</si>
  <si>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</si>
  <si>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</si>
  <si>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</si>
  <si>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</si>
  <si>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</si>
  <si>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</si>
  <si>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</si>
  <si>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</si>
  <si>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</si>
  <si>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</si>
  <si>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</si>
  <si>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</si>
  <si>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</si>
  <si>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</si>
  <si>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</si>
  <si>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</si>
  <si>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</si>
  <si>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</si>
  <si>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</si>
  <si>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</si>
  <si>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</si>
  <si>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</si>
  <si>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</si>
  <si>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</si>
  <si>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</si>
  <si>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</si>
  <si>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</si>
  <si>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</si>
  <si>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</si>
  <si>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</si>
  <si>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</si>
  <si>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</si>
  <si>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</si>
  <si>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</si>
  <si>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</si>
  <si>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</si>
  <si>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</si>
  <si>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</si>
  <si>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</si>
  <si>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</si>
  <si>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</si>
  <si>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</si>
  <si>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</si>
  <si>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</si>
  <si>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</si>
  <si>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</si>
  <si>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</si>
  <si>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</si>
  <si>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</si>
  <si>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</si>
  <si>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</si>
  <si>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</si>
  <si>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</si>
  <si>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</si>
  <si>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</si>
  <si>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</si>
  <si>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</si>
  <si>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</si>
  <si>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</si>
  <si>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</si>
  <si>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</si>
  <si>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</si>
  <si>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</si>
  <si>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</si>
  <si>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</si>
  <si>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</si>
  <si>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</si>
  <si>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</si>
  <si>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</si>
  <si>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</si>
  <si>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</si>
  <si>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</si>
  <si>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</si>
  <si>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</si>
  <si>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</si>
  <si>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</si>
  <si>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</si>
  <si>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</si>
  <si>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</si>
  <si>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</si>
  <si>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</si>
  <si>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</si>
  <si>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</si>
  <si>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</si>
  <si>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</si>
  <si>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</si>
  <si>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</si>
  <si>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</si>
  <si>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</si>
  <si>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</si>
  <si>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</si>
  <si>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</si>
  <si>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</si>
  <si>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</si>
  <si>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</si>
  <si>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</si>
  <si>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</si>
  <si>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</si>
  <si>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</si>
  <si>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</si>
  <si>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</si>
  <si>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</si>
  <si>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</si>
  <si>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</si>
  <si>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</si>
  <si>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</si>
  <si>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</si>
  <si>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</si>
  <si>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</si>
  <si>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</si>
  <si>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</si>
  <si>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</si>
  <si>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</si>
  <si>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</si>
  <si>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</si>
  <si>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</si>
  <si>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</si>
  <si>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</si>
  <si>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</si>
  <si>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</si>
  <si>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</si>
  <si>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</si>
  <si>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</si>
  <si>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</si>
  <si>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</si>
  <si>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</si>
  <si>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</si>
  <si>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</si>
  <si>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</si>
  <si>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</si>
  <si>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</si>
  <si>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</si>
  <si>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</si>
  <si>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</si>
  <si>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</si>
  <si>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</si>
  <si>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</si>
  <si>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</si>
  <si>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</si>
  <si>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</si>
  <si>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</si>
  <si>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</si>
  <si>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</si>
  <si>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</si>
  <si>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</si>
  <si>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</si>
  <si>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</si>
  <si>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</si>
  <si>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</si>
  <si>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</si>
  <si>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</si>
  <si>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</si>
  <si>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</si>
  <si>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</si>
  <si>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</si>
  <si>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</si>
  <si>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</si>
  <si>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</si>
  <si>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</si>
  <si>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</si>
  <si>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</si>
  <si>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</si>
  <si>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</si>
  <si>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</si>
  <si>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</si>
  <si>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</si>
  <si>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</si>
  <si>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</si>
  <si>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</si>
  <si>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</si>
  <si>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</si>
  <si>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</si>
  <si>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</si>
  <si>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</si>
  <si>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</si>
  <si>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</si>
  <si>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</si>
  <si>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</si>
  <si>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</si>
  <si>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</si>
  <si>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</si>
  <si>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</si>
  <si>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</si>
  <si>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</si>
  <si>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</si>
  <si>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</si>
  <si>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</si>
  <si>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</si>
  <si>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</si>
  <si>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</si>
  <si>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</si>
  <si>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</si>
  <si>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</si>
  <si>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</si>
  <si>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</si>
  <si>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</si>
  <si>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</si>
  <si>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</si>
  <si>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</si>
  <si>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</si>
  <si>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</si>
  <si>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</si>
  <si>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</si>
  <si>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</si>
  <si>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</si>
  <si>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</si>
  <si>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</si>
  <si>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</si>
  <si>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</si>
  <si>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</si>
  <si>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</si>
  <si>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</si>
  <si>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</si>
  <si>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</si>
  <si>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</si>
  <si>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</si>
  <si>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</si>
  <si>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</si>
  <si>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</si>
  <si>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</si>
  <si>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</si>
  <si>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</si>
  <si>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</si>
  <si>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</si>
  <si>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</si>
  <si>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</si>
  <si>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</si>
  <si>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</si>
  <si>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</si>
  <si>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</si>
  <si>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</si>
  <si>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</si>
  <si>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</si>
  <si>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</si>
  <si>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</si>
  <si>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</si>
  <si>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</si>
  <si>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</si>
  <si>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</si>
  <si>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</si>
  <si>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</si>
  <si>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</si>
  <si>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</si>
  <si>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</si>
  <si>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</si>
  <si>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</si>
  <si>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</si>
  <si>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</si>
  <si>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</si>
  <si>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</si>
  <si>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</si>
  <si>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</si>
  <si>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</si>
  <si>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</si>
  <si>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</si>
  <si>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</si>
  <si>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</si>
  <si>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</si>
  <si>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</si>
  <si>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</si>
  <si>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</si>
  <si>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</si>
  <si>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</si>
  <si>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</si>
  <si>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</si>
  <si>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</si>
  <si>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</si>
  <si>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</si>
  <si>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</si>
  <si>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</si>
  <si>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</si>
  <si>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</si>
  <si>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</si>
  <si>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</si>
  <si>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</si>
  <si>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</si>
  <si>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</si>
  <si>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</si>
  <si>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</si>
  <si>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</si>
  <si>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</si>
  <si>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</si>
  <si>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</si>
  <si>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</si>
  <si>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</si>
  <si>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</si>
  <si>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</si>
  <si>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</si>
  <si>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</si>
  <si>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</si>
  <si>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</si>
  <si>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</si>
  <si>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</si>
  <si>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</si>
  <si>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</si>
  <si>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</si>
  <si>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</si>
  <si>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</si>
  <si>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</si>
  <si>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</si>
  <si>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</si>
  <si>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</si>
  <si>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</si>
  <si>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</si>
  <si>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</si>
  <si>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</si>
  <si>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</si>
  <si>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</si>
  <si>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</si>
  <si>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</si>
  <si>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</si>
  <si>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</si>
  <si>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</si>
  <si>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</si>
  <si>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</si>
  <si>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</si>
  <si>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</si>
  <si>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</si>
  <si>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</si>
  <si>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</si>
  <si>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</si>
  <si>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</si>
  <si>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</si>
  <si>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</si>
  <si>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</si>
  <si>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</si>
  <si>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</si>
  <si>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</si>
  <si>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</si>
  <si>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</si>
  <si>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</si>
  <si>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</si>
  <si>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</si>
  <si>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</si>
  <si>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</si>
  <si>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</si>
  <si>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</si>
  <si>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</si>
  <si>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</si>
  <si>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</si>
  <si>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</si>
  <si>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</si>
  <si>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</si>
  <si>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</si>
  <si>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</si>
  <si>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</si>
  <si>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</si>
  <si>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</si>
  <si>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</si>
  <si>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</si>
  <si>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</si>
  <si>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</si>
  <si>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</si>
  <si>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</si>
  <si>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</si>
  <si>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</si>
  <si>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</si>
  <si>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</si>
  <si>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</si>
  <si>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</si>
  <si>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</si>
  <si>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</si>
  <si>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</si>
  <si>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</si>
  <si>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</si>
  <si>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</si>
  <si>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</si>
  <si>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</si>
  <si>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</si>
  <si>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</si>
  <si>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</si>
  <si>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</si>
  <si>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</si>
  <si>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</si>
  <si>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</si>
  <si>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</si>
  <si>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</si>
  <si>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</si>
  <si>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</si>
  <si>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</si>
  <si>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</si>
  <si>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</si>
  <si>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</si>
  <si>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</si>
  <si>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</si>
  <si>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</si>
  <si>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</si>
  <si>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</si>
  <si>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</si>
  <si>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</si>
  <si>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</si>
  <si>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</si>
  <si>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</si>
  <si>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</si>
  <si>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</si>
  <si>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</si>
  <si>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</si>
  <si>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</si>
  <si>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</si>
  <si>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</si>
  <si>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</si>
  <si>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</si>
  <si>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</si>
  <si>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</si>
  <si>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</si>
  <si>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</si>
  <si>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</si>
  <si>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</si>
  <si>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</si>
  <si>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</si>
  <si>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</si>
  <si>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</si>
  <si>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</si>
  <si>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</si>
  <si>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</si>
  <si>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</si>
  <si>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</si>
  <si>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</si>
  <si>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</si>
  <si>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</si>
  <si>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</si>
  <si>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</si>
  <si>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</si>
  <si>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</si>
  <si>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</si>
  <si>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</si>
  <si>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</si>
  <si>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</si>
  <si>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</si>
  <si>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</si>
  <si>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</si>
  <si>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</si>
  <si>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</si>
  <si>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</si>
  <si>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</si>
  <si>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</si>
  <si>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</si>
  <si>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</si>
  <si>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</si>
  <si>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</si>
  <si>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</si>
  <si>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</si>
  <si>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</si>
  <si>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</si>
  <si>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</si>
  <si>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</si>
  <si>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</si>
  <si>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</si>
  <si>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</si>
  <si>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</si>
  <si>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</si>
  <si>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</si>
  <si>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</si>
  <si>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</si>
  <si>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</si>
  <si>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</si>
  <si>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</si>
  <si>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</si>
  <si>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</si>
  <si>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</si>
  <si>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</si>
  <si>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</si>
  <si>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</si>
  <si>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</si>
  <si>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</si>
  <si>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</si>
  <si>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</si>
  <si>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</si>
  <si>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</si>
  <si>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</si>
  <si>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</si>
  <si>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</si>
  <si>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</si>
  <si>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</si>
  <si>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</si>
  <si>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</si>
  <si>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</si>
  <si>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</si>
  <si>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</si>
  <si>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</si>
  <si>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</si>
  <si>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</si>
  <si>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</si>
  <si>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</si>
  <si>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</si>
  <si>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</si>
  <si>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</si>
  <si>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</si>
  <si>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</si>
  <si>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</si>
  <si>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</si>
  <si>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</si>
  <si>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</si>
  <si>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</si>
  <si>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</si>
  <si>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</si>
  <si>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</si>
  <si>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</si>
  <si>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</si>
  <si>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</si>
  <si>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</si>
  <si>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</si>
  <si>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</si>
  <si>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</si>
  <si>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</si>
  <si>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</si>
  <si>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</si>
  <si>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</si>
  <si>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</si>
  <si>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</si>
  <si>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</si>
  <si>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</si>
  <si>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</si>
  <si>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</si>
  <si>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</si>
  <si>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</si>
  <si>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</si>
  <si>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</si>
  <si>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</si>
  <si>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</si>
  <si>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</si>
  <si>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</si>
  <si>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</si>
  <si>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</si>
  <si>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</si>
  <si>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</si>
  <si>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</si>
  <si>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</si>
  <si>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</si>
  <si>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</si>
  <si>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</si>
  <si>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</si>
  <si>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</si>
  <si>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</si>
  <si>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</si>
  <si>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</si>
  <si>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</si>
  <si>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</si>
  <si>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</si>
  <si>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</si>
  <si>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</si>
  <si>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</si>
  <si>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</si>
  <si>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</si>
  <si>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</si>
  <si>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</si>
  <si>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</si>
  <si>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</si>
  <si>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</si>
  <si>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</si>
  <si>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</si>
  <si>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</si>
  <si>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</si>
  <si>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</si>
  <si>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</si>
  <si>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</si>
  <si>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</si>
  <si>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</si>
  <si>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</si>
  <si>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</si>
  <si>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</si>
  <si>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</si>
  <si>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</si>
  <si>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</si>
  <si>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</si>
  <si>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</si>
  <si>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</si>
  <si>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</si>
  <si>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</si>
  <si>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</si>
  <si>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</si>
  <si>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</si>
  <si>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</si>
  <si>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</si>
  <si>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</si>
  <si>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</si>
  <si>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</si>
  <si>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</si>
  <si>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</si>
  <si>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</si>
  <si>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</si>
  <si>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</si>
  <si>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</si>
  <si>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</si>
  <si>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</si>
  <si>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</si>
  <si>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</si>
  <si>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</si>
  <si>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</si>
  <si>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</si>
  <si>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</si>
  <si>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</si>
  <si>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</si>
  <si>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</si>
  <si>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</si>
  <si>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</si>
  <si>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</si>
  <si>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</si>
  <si>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</si>
  <si>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</si>
  <si>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</si>
  <si>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</si>
  <si>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</si>
  <si>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</si>
  <si>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</si>
  <si>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</si>
  <si>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</si>
  <si>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</si>
  <si>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</si>
  <si>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</si>
  <si>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</si>
  <si>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</si>
  <si>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</si>
  <si>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</si>
  <si>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</si>
  <si>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</si>
  <si>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</si>
  <si>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</si>
  <si>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</si>
  <si>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</si>
  <si>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</si>
  <si>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</si>
  <si>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</si>
  <si>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</si>
  <si>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</si>
  <si>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</si>
  <si>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</si>
  <si>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</si>
  <si>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</si>
  <si>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</si>
  <si>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</si>
  <si>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</si>
  <si>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</si>
  <si>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</si>
  <si>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</si>
  <si>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</si>
  <si>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</si>
  <si>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</si>
  <si>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</si>
  <si>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</si>
  <si>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</si>
  <si>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</si>
  <si>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</si>
  <si>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</si>
  <si>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</si>
  <si>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</si>
  <si>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</si>
  <si>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</si>
  <si>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</si>
  <si>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</si>
  <si>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</si>
  <si>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</si>
  <si>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</si>
  <si>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</si>
  <si>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</si>
  <si>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</si>
  <si>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</si>
  <si>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</si>
  <si>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</si>
  <si>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</si>
  <si>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</si>
  <si>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</si>
  <si>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</si>
  <si>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</si>
  <si>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</si>
  <si>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</si>
  <si>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</si>
  <si>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</si>
  <si>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</si>
  <si>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</si>
  <si>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</si>
  <si>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</si>
  <si>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</si>
  <si>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</si>
  <si>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</si>
  <si>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</si>
  <si>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</si>
  <si>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</si>
  <si>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</si>
  <si>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</si>
  <si>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</si>
  <si>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</si>
  <si>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</si>
  <si>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</si>
  <si>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</si>
  <si>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</si>
  <si>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</si>
  <si>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</si>
  <si>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</si>
  <si>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</si>
  <si>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</si>
  <si>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</si>
  <si>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</si>
  <si>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</si>
  <si>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</si>
  <si>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</si>
  <si>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</si>
  <si>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</si>
  <si>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</si>
  <si>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</si>
  <si>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</si>
  <si>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</si>
  <si>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</si>
  <si>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</si>
  <si>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</si>
  <si>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</si>
  <si>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</si>
  <si>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</si>
  <si>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</si>
  <si>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</si>
  <si>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</si>
  <si>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</si>
  <si>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</si>
  <si>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</si>
  <si>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</si>
  <si>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</si>
  <si>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</si>
  <si>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</si>
  <si>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</si>
  <si>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</si>
  <si>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</si>
  <si>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</si>
  <si>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</si>
  <si>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</si>
  <si>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</si>
  <si>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</si>
  <si>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</si>
  <si>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</si>
  <si>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</si>
  <si>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</si>
  <si>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</si>
  <si>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</si>
  <si>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</si>
  <si>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</si>
  <si>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</si>
  <si>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</si>
  <si>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</si>
  <si>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</si>
  <si>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</si>
  <si>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</si>
  <si>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</si>
  <si>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</si>
  <si>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</si>
  <si>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</si>
  <si>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</si>
  <si>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</si>
  <si>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</si>
  <si>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</si>
  <si>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</si>
  <si>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</si>
  <si>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</si>
  <si>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</si>
  <si>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</si>
  <si>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</si>
  <si>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</si>
  <si>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</si>
  <si>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</si>
  <si>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</si>
  <si>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</si>
  <si>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</si>
  <si>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</si>
  <si>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</si>
  <si>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</si>
  <si>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</si>
  <si>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</si>
  <si>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</si>
  <si>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</si>
  <si>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</si>
  <si>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</si>
  <si>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</si>
  <si>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</si>
  <si>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</si>
  <si>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</si>
  <si>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</si>
  <si>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</si>
  <si>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</si>
  <si>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</si>
  <si>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</si>
  <si>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</si>
  <si>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</si>
  <si>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</si>
  <si>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</si>
  <si>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</si>
  <si>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</si>
  <si>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</si>
  <si>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</si>
  <si>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</si>
  <si>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</si>
  <si>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</si>
  <si>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</si>
  <si>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</si>
  <si>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</si>
  <si>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</si>
  <si>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</si>
  <si>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</si>
  <si>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</si>
  <si>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</si>
  <si>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</si>
  <si>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</si>
  <si>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</si>
  <si>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</si>
  <si>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</si>
  <si>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</si>
  <si>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</si>
  <si>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</si>
  <si>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</si>
  <si>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</si>
  <si>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</si>
  <si>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</si>
  <si>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</si>
  <si>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</si>
  <si>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</si>
  <si>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</si>
  <si>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</si>
  <si>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</si>
  <si>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</si>
  <si>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</si>
  <si>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</si>
  <si>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</si>
  <si>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</si>
  <si>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</si>
  <si>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</si>
  <si>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</si>
  <si>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</si>
  <si>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</si>
  <si>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</si>
  <si>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</si>
  <si>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</si>
  <si>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</si>
  <si>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</si>
  <si>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</si>
  <si>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</si>
  <si>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</si>
  <si>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</si>
  <si>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</si>
  <si>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</si>
  <si>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</si>
  <si>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</si>
  <si>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</si>
  <si>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</si>
  <si>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</si>
  <si>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</si>
  <si>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</si>
  <si>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</si>
  <si>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</si>
  <si>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</si>
  <si>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</si>
  <si>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</si>
  <si>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</si>
  <si>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</si>
  <si>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</si>
  <si>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</si>
  <si>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</si>
  <si>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</si>
  <si>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</si>
  <si>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</si>
  <si>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</si>
  <si>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</si>
  <si>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</si>
  <si>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</si>
  <si>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</si>
  <si>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</si>
  <si>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</si>
  <si>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</si>
  <si>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</si>
  <si>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</si>
  <si>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</si>
  <si>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</si>
  <si>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</si>
  <si>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</si>
  <si>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</si>
  <si>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</si>
  <si>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</si>
  <si>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</si>
  <si>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</si>
  <si>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</si>
  <si>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</si>
  <si>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</si>
  <si>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</si>
  <si>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</si>
  <si>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</si>
  <si>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</si>
  <si>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</si>
  <si>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</si>
  <si>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</si>
  <si>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</si>
  <si>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</si>
  <si>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</si>
  <si>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</si>
  <si>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</si>
  <si>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</si>
  <si>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</si>
  <si>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</si>
  <si>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</si>
  <si>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</si>
  <si>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</si>
  <si>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</si>
  <si>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</si>
  <si>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</si>
  <si>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</si>
  <si>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</si>
  <si>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</si>
  <si>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</si>
  <si>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</si>
  <si>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</si>
  <si>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</si>
  <si>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</si>
  <si>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</si>
  <si>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</si>
  <si>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</si>
  <si>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</si>
  <si>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</si>
  <si>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</si>
  <si>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</si>
  <si>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</si>
  <si>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</si>
  <si>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</si>
  <si>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</si>
  <si>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</si>
  <si>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</si>
  <si>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</si>
  <si>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</si>
  <si>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</si>
  <si>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</si>
  <si>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</si>
  <si>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</si>
  <si>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</si>
  <si>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</si>
  <si>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</si>
  <si>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</si>
  <si>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</si>
  <si>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</si>
  <si>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</si>
  <si>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</si>
  <si>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</si>
  <si>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</si>
  <si>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</si>
  <si>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</si>
  <si>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</si>
  <si>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</si>
  <si>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</si>
  <si>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</si>
  <si>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</si>
  <si>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</si>
  <si>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</si>
  <si>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</si>
  <si>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</si>
  <si>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</si>
  <si>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</si>
  <si>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</si>
  <si>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</si>
  <si>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</si>
  <si>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</si>
  <si>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</si>
  <si>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</si>
  <si>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</si>
  <si>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</si>
  <si>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</si>
  <si>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</si>
  <si>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</si>
  <si>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</si>
  <si>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</si>
  <si>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</si>
  <si>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</si>
  <si>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</si>
  <si>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</si>
  <si>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</si>
  <si>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</si>
  <si>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</si>
  <si>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</si>
  <si>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</si>
  <si>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</si>
  <si>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</si>
  <si>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</si>
  <si>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</si>
  <si>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</si>
  <si>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</si>
  <si>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</si>
  <si>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</si>
  <si>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</si>
  <si>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</si>
  <si>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</si>
  <si>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</si>
  <si>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</si>
  <si>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</si>
  <si>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</si>
  <si>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</si>
  <si>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</si>
  <si>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</si>
  <si>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</si>
  <si>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</si>
  <si>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</si>
  <si>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</si>
  <si>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</si>
  <si>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</si>
  <si>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</si>
  <si>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</si>
  <si>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</si>
  <si>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</si>
  <si>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</si>
  <si>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</si>
  <si>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</si>
  <si>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</si>
  <si>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</si>
  <si>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</si>
  <si>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</si>
  <si>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</si>
  <si>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</si>
  <si>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</si>
  <si>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</si>
  <si>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</si>
  <si>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</si>
  <si>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</si>
  <si>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</si>
  <si>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</si>
  <si>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</si>
  <si>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</si>
  <si>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</si>
  <si>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</si>
  <si>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</si>
  <si>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</si>
  <si>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</si>
  <si>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</si>
  <si>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</si>
  <si>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</si>
  <si>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</si>
  <si>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</si>
  <si>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</si>
  <si>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</si>
  <si>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</si>
  <si>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</si>
  <si>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</si>
  <si>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</si>
  <si>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</si>
  <si>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</si>
  <si>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</si>
  <si>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</si>
  <si>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</si>
  <si>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</si>
  <si>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</si>
  <si>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</si>
  <si>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</si>
  <si>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</si>
  <si>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</si>
  <si>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</si>
  <si>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</si>
  <si>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</si>
  <si>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</si>
  <si>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</si>
  <si>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</si>
  <si>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</si>
  <si>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</si>
  <si>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</si>
  <si>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</si>
  <si>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</si>
  <si>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</si>
  <si>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</si>
  <si>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</si>
  <si>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</si>
  <si>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</si>
  <si>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</si>
  <si>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</si>
  <si>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</si>
  <si>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</si>
  <si>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</si>
  <si>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</si>
  <si>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</si>
  <si>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</si>
  <si>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</si>
  <si>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</si>
  <si>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</si>
  <si>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</si>
  <si>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</si>
  <si>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</si>
  <si>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</si>
  <si>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</si>
  <si>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</si>
  <si>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</si>
  <si>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</si>
  <si>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</si>
  <si>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</si>
  <si>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</si>
  <si>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</si>
  <si>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</si>
  <si>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</si>
  <si>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</si>
  <si>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</si>
  <si>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</si>
  <si>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</si>
  <si>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</si>
  <si>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</si>
  <si>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</si>
  <si>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</si>
  <si>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</si>
  <si>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</si>
  <si>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</si>
  <si>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</si>
  <si>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</si>
  <si>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</si>
  <si>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</si>
  <si>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</si>
  <si>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</si>
  <si>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</si>
  <si>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</si>
  <si>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</si>
  <si>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</si>
  <si>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</si>
  <si>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</si>
  <si>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</si>
  <si>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</si>
  <si>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</si>
  <si>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</si>
  <si>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</si>
  <si>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</si>
  <si>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</si>
  <si>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</si>
  <si>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</si>
  <si>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</si>
  <si>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</si>
  <si>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</si>
  <si>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</si>
  <si>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</si>
  <si>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</si>
  <si>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</si>
  <si>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</si>
  <si>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</si>
  <si>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</si>
  <si>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</si>
  <si>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</si>
  <si>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</si>
  <si>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</si>
  <si>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</si>
  <si>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</si>
  <si>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</si>
  <si>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</si>
  <si>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</si>
  <si>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</si>
  <si>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</si>
  <si>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</si>
  <si>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</si>
  <si>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</si>
  <si>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</si>
  <si>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</si>
  <si>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</si>
  <si>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</si>
  <si>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</si>
  <si>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</si>
  <si>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</si>
  <si>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</si>
  <si>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</si>
  <si>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</si>
  <si>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</si>
  <si>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</si>
  <si>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</si>
  <si>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</si>
  <si>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</si>
  <si>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</si>
  <si>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</si>
  <si>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</si>
  <si>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</si>
  <si>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</si>
  <si>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</si>
  <si>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</si>
  <si>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</si>
  <si>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</si>
  <si>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</si>
  <si>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</si>
  <si>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</si>
  <si>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</si>
  <si>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</si>
  <si>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</si>
  <si>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</si>
  <si>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</si>
  <si>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</si>
  <si>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</si>
  <si>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</si>
  <si>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</si>
  <si>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</si>
  <si>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</si>
  <si>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</si>
  <si>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</si>
  <si>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</si>
  <si>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</si>
  <si>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</si>
  <si>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</si>
  <si>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</si>
  <si>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</si>
  <si>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</si>
  <si>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</si>
  <si>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</si>
  <si>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</si>
  <si>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</si>
  <si>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</si>
  <si>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</si>
  <si>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</si>
  <si>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</si>
  <si>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</si>
  <si>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</si>
  <si>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</si>
  <si>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</si>
  <si>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</si>
  <si>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</si>
  <si>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</si>
  <si>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</si>
  <si>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</si>
  <si>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</si>
  <si>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</si>
  <si>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</si>
  <si>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</si>
  <si>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</si>
  <si>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</si>
  <si>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</si>
  <si>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</si>
  <si>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</si>
  <si>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</si>
  <si>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</si>
  <si>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</si>
  <si>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</si>
  <si>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</si>
  <si>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</si>
  <si>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</si>
  <si>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</si>
  <si>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</si>
  <si>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</si>
  <si>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</si>
  <si>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</si>
  <si>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</si>
  <si>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</si>
  <si>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</si>
  <si>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</si>
  <si>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</si>
  <si>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</si>
  <si>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</si>
  <si>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</si>
  <si>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</si>
  <si>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</si>
  <si>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</si>
  <si>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</si>
  <si>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</si>
  <si>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</si>
  <si>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</si>
  <si>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</si>
  <si>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</si>
  <si>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</si>
  <si>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</si>
  <si>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</si>
  <si>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</si>
  <si>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</si>
  <si>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</si>
  <si>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</si>
  <si>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</si>
  <si>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</si>
  <si>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</si>
  <si>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</si>
  <si>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</si>
  <si>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</si>
  <si>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</si>
  <si>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</si>
  <si>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</si>
  <si>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</si>
  <si>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</si>
  <si>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</si>
  <si>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</si>
  <si>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</si>
  <si>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</si>
  <si>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</si>
  <si>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</si>
  <si>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</si>
  <si>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</si>
  <si>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</si>
  <si>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</si>
  <si>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</si>
  <si>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</si>
  <si>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</si>
  <si>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</si>
  <si>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</si>
  <si>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</si>
  <si>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</si>
  <si>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</si>
  <si>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</si>
  <si>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</si>
  <si>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</si>
  <si>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</si>
  <si>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</si>
  <si>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</si>
  <si>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</si>
  <si>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</si>
  <si>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</si>
  <si>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</si>
  <si>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</si>
  <si>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</si>
  <si>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</si>
  <si>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</si>
  <si>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</si>
  <si>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</si>
  <si>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</si>
  <si>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</si>
  <si>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</si>
  <si>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</si>
  <si>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</si>
  <si>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</si>
  <si>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</si>
  <si>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</si>
  <si>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</si>
  <si>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</si>
  <si>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</si>
  <si>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</si>
  <si>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</si>
  <si>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</si>
  <si>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</si>
  <si>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</si>
  <si>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</si>
  <si>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</si>
  <si>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</si>
  <si>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</si>
  <si>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</si>
  <si>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</si>
  <si>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</si>
  <si>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</si>
  <si>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</si>
  <si>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</si>
  <si>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</si>
  <si>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</si>
  <si>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</si>
  <si>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</si>
  <si>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</si>
  <si>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</si>
  <si>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</si>
  <si>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</si>
  <si>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</si>
  <si>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</si>
  <si>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</si>
  <si>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</si>
  <si>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</si>
  <si>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</si>
  <si>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</si>
  <si>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</si>
  <si>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</si>
  <si>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</si>
  <si>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</si>
  <si>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</si>
  <si>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</si>
  <si>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</si>
  <si>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</si>
  <si>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</si>
  <si>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</si>
  <si>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</si>
  <si>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</si>
  <si>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</si>
  <si>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</si>
  <si>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</si>
  <si>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</si>
  <si>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</si>
  <si>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</si>
  <si>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</si>
  <si>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</si>
  <si>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</si>
  <si>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</si>
  <si>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</si>
  <si>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</si>
  <si>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</si>
  <si>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</si>
  <si>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</si>
  <si>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</si>
  <si>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</si>
  <si>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</si>
  <si>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</si>
  <si>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</si>
  <si>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</si>
  <si>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</si>
  <si>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</si>
  <si>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</si>
  <si>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</si>
  <si>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</si>
  <si>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</si>
  <si>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</si>
  <si>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</si>
  <si>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</si>
  <si>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</si>
  <si>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</si>
  <si>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</si>
  <si>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</si>
  <si>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</si>
  <si>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</si>
  <si>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</si>
  <si>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</si>
  <si>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</si>
  <si>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</si>
  <si>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</si>
  <si>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</si>
  <si>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</si>
  <si>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</si>
  <si>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</si>
  <si>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</si>
  <si>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</si>
  <si>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</si>
  <si>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</si>
  <si>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</si>
  <si>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</si>
  <si>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</si>
  <si>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</si>
  <si>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</si>
  <si>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</si>
  <si>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</si>
  <si>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</si>
  <si>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</si>
  <si>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</si>
  <si>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</si>
  <si>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</si>
  <si>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</si>
  <si>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</si>
  <si>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</si>
  <si>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</si>
  <si>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</si>
  <si>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</si>
  <si>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</si>
  <si>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</si>
  <si>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</si>
  <si>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</si>
  <si>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</si>
  <si>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</si>
  <si>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</si>
  <si>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</si>
  <si>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</si>
  <si>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</si>
  <si>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</si>
  <si>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</si>
  <si>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</si>
  <si>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</si>
  <si>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</si>
  <si>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</si>
  <si>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</si>
  <si>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</si>
  <si>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</si>
  <si>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</si>
  <si>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</si>
  <si>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</si>
  <si>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</si>
  <si>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</si>
  <si>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</si>
  <si>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</si>
  <si>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</si>
  <si>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</si>
  <si>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</si>
  <si>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</si>
  <si>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</si>
  <si>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</si>
  <si>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</si>
  <si>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</si>
  <si>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</si>
  <si>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</si>
  <si>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</si>
  <si>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</si>
  <si>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</si>
  <si>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</si>
  <si>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</si>
  <si>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</si>
  <si>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</si>
  <si>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</si>
  <si>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</si>
  <si>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</si>
  <si>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</si>
  <si>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</si>
  <si>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</si>
  <si>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</si>
  <si>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</si>
  <si>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</si>
  <si>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</si>
  <si>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</si>
  <si>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</si>
  <si>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</si>
  <si>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</si>
  <si>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</si>
  <si>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</si>
  <si>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</si>
  <si>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</si>
  <si>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</si>
  <si>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</si>
  <si>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</si>
  <si>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</si>
  <si>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</si>
  <si>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</si>
  <si>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</si>
  <si>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</si>
  <si>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</si>
  <si>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</si>
  <si>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</si>
  <si>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</si>
  <si>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</si>
  <si>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</si>
  <si>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</si>
  <si>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</si>
  <si>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</si>
  <si>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</si>
  <si>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</si>
  <si>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</si>
  <si>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</si>
  <si>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</si>
  <si>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</si>
  <si>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</si>
  <si>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</si>
  <si>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</si>
  <si>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</si>
  <si>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</si>
  <si>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</si>
  <si>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</si>
  <si>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</si>
  <si>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</si>
  <si>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</si>
  <si>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</si>
  <si>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</si>
  <si>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</si>
  <si>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</si>
  <si>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</si>
  <si>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</si>
  <si>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</si>
  <si>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</si>
  <si>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</si>
  <si>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</si>
  <si>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</si>
  <si>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</si>
  <si>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</si>
  <si>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</si>
  <si>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</si>
  <si>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</si>
  <si>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</si>
  <si>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</si>
  <si>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</si>
  <si>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</si>
  <si>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</si>
  <si>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</si>
  <si>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</si>
  <si>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</si>
  <si>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</si>
  <si>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</si>
  <si>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</si>
  <si>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</si>
  <si>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</si>
  <si>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</si>
  <si>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</si>
  <si>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</si>
  <si>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</si>
  <si>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</si>
  <si>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</si>
  <si>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</si>
  <si>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</si>
  <si>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</si>
  <si>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</si>
  <si>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</si>
  <si>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</si>
  <si>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</si>
  <si>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</si>
  <si>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</si>
  <si>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</si>
  <si>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</si>
  <si>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</si>
  <si>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</si>
  <si>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</si>
  <si>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</si>
  <si>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</si>
  <si>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</si>
  <si>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</si>
  <si>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</si>
  <si>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</si>
  <si>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</si>
  <si>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</si>
  <si>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</si>
  <si>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</si>
  <si>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</si>
  <si>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</si>
  <si>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</si>
  <si>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</si>
  <si>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</si>
  <si>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</si>
  <si>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</si>
  <si>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</si>
  <si>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</si>
  <si>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</si>
  <si>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</si>
  <si>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</si>
  <si>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</si>
  <si>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</si>
  <si>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</si>
  <si>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</si>
  <si>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</si>
  <si>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</si>
  <si>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</si>
  <si>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</si>
  <si>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</si>
  <si>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</si>
  <si>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</si>
  <si>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</si>
  <si>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</si>
  <si>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</si>
  <si>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</si>
  <si>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</si>
  <si>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</si>
  <si>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</si>
  <si>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</si>
  <si>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</si>
  <si>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</si>
  <si>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</si>
  <si>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</si>
  <si>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</si>
  <si>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</si>
  <si>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</si>
  <si>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</si>
  <si>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</si>
  <si>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</si>
  <si>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</si>
  <si>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</si>
  <si>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</si>
  <si>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</si>
  <si>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</si>
  <si>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</si>
  <si>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</si>
  <si>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</si>
  <si>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</si>
  <si>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</si>
  <si>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</si>
  <si>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</si>
  <si>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</si>
  <si>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</si>
  <si>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</si>
  <si>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</si>
  <si>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</si>
  <si>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</si>
  <si>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</si>
  <si>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</si>
  <si>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</si>
  <si>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</si>
  <si>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</si>
  <si>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</si>
  <si>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</si>
  <si>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</si>
  <si>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</si>
  <si>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</si>
  <si>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</si>
  <si>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</si>
  <si>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</si>
  <si>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</si>
  <si>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</si>
  <si>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</si>
  <si>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</si>
  <si>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</si>
  <si>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</si>
  <si>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</si>
  <si>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</si>
  <si>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</si>
  <si>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</si>
  <si>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</si>
  <si>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</si>
  <si>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</si>
  <si>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</si>
  <si>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</si>
  <si>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</si>
  <si>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</si>
  <si>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</si>
  <si>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</si>
  <si>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</si>
  <si>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</si>
  <si>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</si>
  <si>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</si>
  <si>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</si>
  <si>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</si>
  <si>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</si>
  <si>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</si>
  <si>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</si>
  <si>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</si>
  <si>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</si>
  <si>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</si>
  <si>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</si>
  <si>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</si>
  <si>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</si>
  <si>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</si>
  <si>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</si>
  <si>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</si>
  <si>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</si>
  <si>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</si>
  <si>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</si>
  <si>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</si>
  <si>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</si>
  <si>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</si>
  <si>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</si>
  <si>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</si>
  <si>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</si>
  <si>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</si>
  <si>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</si>
  <si>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</si>
  <si>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</si>
  <si>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</si>
  <si>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</si>
  <si>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</si>
  <si>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</si>
  <si>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</si>
  <si>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</si>
  <si>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</si>
  <si>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</si>
  <si>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</si>
  <si>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</si>
  <si>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</si>
  <si>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</si>
  <si>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</si>
  <si>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</si>
  <si>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</si>
  <si>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</si>
  <si>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</si>
  <si>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</si>
  <si>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</si>
  <si>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</si>
  <si>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</si>
  <si>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</si>
  <si>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</si>
  <si>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</si>
  <si>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</si>
  <si>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</si>
  <si>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</si>
  <si>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</si>
  <si>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</si>
  <si>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</si>
  <si>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</si>
  <si>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</si>
  <si>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</si>
  <si>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</si>
  <si>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</si>
  <si>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</si>
  <si>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</si>
  <si>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</si>
  <si>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</si>
  <si>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</si>
  <si>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</si>
  <si>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</si>
  <si>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</si>
  <si>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</si>
  <si>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</si>
  <si>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</si>
  <si>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</si>
  <si>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</si>
  <si>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</si>
  <si>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</si>
  <si>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</si>
  <si>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</si>
  <si>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</si>
  <si>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</si>
  <si>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</si>
  <si>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</si>
  <si>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</si>
  <si>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</si>
  <si>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</si>
  <si>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</si>
  <si>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</si>
  <si>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</si>
  <si>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</si>
  <si>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</si>
  <si>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</si>
  <si>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</si>
  <si>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</si>
  <si>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</si>
  <si>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</si>
  <si>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</si>
  <si>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</si>
  <si>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</si>
  <si>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</si>
  <si>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</si>
  <si>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</si>
  <si>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</si>
  <si>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</si>
  <si>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</si>
  <si>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</si>
  <si>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</si>
  <si>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</si>
  <si>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</si>
  <si>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</si>
  <si>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</si>
  <si>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</si>
  <si>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</si>
  <si>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</si>
  <si>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</si>
  <si>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</si>
  <si>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</si>
  <si>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</si>
  <si>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</si>
  <si>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</si>
  <si>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</si>
  <si>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</si>
  <si>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</si>
  <si>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</si>
  <si>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</si>
  <si>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</si>
  <si>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</si>
  <si>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</si>
  <si>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</si>
  <si>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</si>
  <si>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</si>
  <si>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</si>
  <si>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</si>
  <si>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</si>
  <si>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</si>
  <si>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</si>
  <si>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</si>
  <si>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</si>
  <si>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</si>
  <si>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</si>
  <si>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</si>
  <si>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</si>
  <si>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</si>
  <si>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</si>
  <si>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</si>
  <si>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</si>
  <si>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</si>
  <si>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</si>
  <si>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</si>
  <si>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</si>
  <si>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</si>
  <si>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</si>
  <si>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</si>
  <si>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</si>
  <si>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</si>
  <si>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</si>
  <si>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</si>
  <si>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</si>
  <si>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</si>
  <si>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</si>
  <si>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</si>
  <si>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</si>
  <si>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</si>
  <si>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</si>
  <si>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</si>
  <si>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</si>
  <si>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</si>
  <si>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</si>
  <si>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</si>
  <si>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</si>
  <si>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</si>
  <si>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</si>
  <si>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</si>
  <si>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</si>
  <si>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</si>
  <si>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</si>
  <si>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</si>
  <si>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</si>
  <si>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</si>
  <si>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</si>
  <si>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</si>
  <si>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</si>
  <si>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</si>
  <si>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</si>
  <si>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</si>
  <si>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</si>
  <si>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</si>
  <si>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</si>
  <si>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</si>
  <si>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</si>
  <si>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</si>
  <si>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</si>
  <si>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</si>
  <si>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</si>
  <si>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</si>
  <si>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</si>
  <si>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</si>
  <si>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</si>
  <si>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</si>
  <si>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</si>
  <si>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</si>
  <si>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</si>
  <si>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</si>
  <si>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</si>
  <si>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</si>
  <si>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</si>
  <si>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</si>
  <si>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</si>
  <si>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</si>
  <si>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</si>
  <si>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</si>
  <si>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</si>
  <si>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</si>
  <si>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</si>
  <si>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</si>
  <si>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</si>
  <si>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</si>
  <si>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</si>
  <si>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</si>
  <si>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</si>
  <si>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</si>
  <si>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</si>
  <si>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</si>
  <si>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</si>
  <si>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</si>
  <si>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</si>
  <si>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</si>
  <si>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</si>
  <si>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</si>
  <si>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</si>
  <si>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</si>
  <si>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</si>
  <si>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</si>
  <si>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</si>
  <si>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</si>
  <si>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</si>
  <si>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</si>
  <si>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</si>
  <si>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</si>
  <si>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</si>
  <si>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</si>
  <si>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</si>
  <si>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</si>
  <si>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</si>
  <si>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</si>
  <si>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</si>
  <si>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</si>
  <si>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</si>
  <si>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</si>
  <si>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</si>
  <si>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</si>
  <si>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</si>
  <si>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</si>
  <si>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</si>
  <si>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</si>
  <si>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</si>
  <si>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</si>
  <si>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</si>
  <si>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</si>
  <si>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</si>
  <si>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</si>
  <si>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</si>
  <si>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</si>
  <si>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</si>
  <si>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</si>
  <si>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</si>
  <si>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</si>
  <si>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</si>
  <si>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</si>
  <si>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</si>
  <si>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</si>
  <si>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</si>
  <si>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</si>
  <si>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</si>
  <si>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</si>
  <si>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</si>
  <si>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</si>
  <si>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</si>
  <si>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</si>
  <si>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</si>
  <si>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</si>
  <si>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</si>
  <si>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</si>
  <si>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</si>
  <si>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</si>
  <si>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</si>
  <si>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</si>
  <si>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</si>
  <si>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</si>
  <si>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</si>
  <si>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</si>
  <si>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</si>
  <si>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</si>
  <si>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</si>
  <si>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</si>
  <si>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</si>
  <si>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</si>
  <si>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</si>
  <si>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</si>
  <si>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</si>
  <si>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</si>
  <si>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</si>
  <si>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</si>
  <si>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</si>
  <si>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</si>
  <si>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</si>
  <si>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</si>
  <si>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</si>
  <si>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</si>
  <si>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</si>
  <si>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</si>
  <si>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</si>
  <si>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</si>
  <si>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</si>
  <si>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</si>
  <si>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</si>
  <si>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</si>
  <si>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</si>
  <si>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</si>
  <si>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</si>
  <si>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</si>
  <si>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</si>
  <si>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</si>
  <si>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</si>
  <si>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</si>
  <si>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</si>
  <si>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</si>
  <si>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</si>
  <si>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</si>
  <si>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</si>
  <si>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</si>
  <si>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</si>
  <si>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</si>
  <si>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</si>
  <si>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</si>
  <si>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</si>
  <si>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</si>
  <si>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</si>
  <si>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</si>
  <si>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</si>
  <si>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</si>
  <si>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</si>
  <si>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</si>
  <si>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</si>
  <si>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</si>
  <si>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</si>
  <si>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</si>
  <si>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</si>
  <si>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</si>
  <si>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</si>
  <si>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</si>
  <si>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</si>
  <si>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</si>
  <si>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</si>
  <si>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</si>
  <si>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</si>
  <si>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</si>
  <si>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</si>
  <si>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</si>
  <si>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</si>
  <si>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</si>
  <si>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</si>
  <si>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</si>
  <si>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</si>
  <si>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</si>
  <si>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</si>
  <si>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</si>
  <si>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</si>
  <si>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</si>
  <si>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</si>
  <si>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</si>
  <si>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</si>
  <si>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</si>
  <si>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</si>
  <si>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</si>
  <si>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</si>
  <si>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</si>
  <si>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</si>
  <si>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</si>
  <si>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</si>
  <si>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</si>
  <si>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</si>
  <si>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</si>
  <si>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</si>
  <si>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</si>
  <si>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</si>
  <si>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</si>
  <si>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</si>
  <si>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</si>
  <si>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</si>
  <si>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</si>
  <si>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</si>
  <si>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</si>
  <si>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</si>
  <si>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</si>
  <si>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</si>
  <si>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</si>
  <si>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</si>
  <si>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</si>
  <si>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</si>
  <si>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</si>
  <si>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</si>
  <si>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</si>
  <si>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</si>
  <si>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</si>
  <si>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</si>
  <si>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</si>
  <si>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</si>
  <si>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</si>
  <si>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</si>
  <si>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</si>
  <si>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</si>
  <si>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</si>
  <si>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</si>
  <si>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</si>
  <si>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</si>
  <si>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</si>
  <si>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</si>
  <si>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</si>
  <si>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</si>
  <si>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</si>
  <si>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</si>
  <si>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</si>
  <si>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</si>
  <si>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</si>
  <si>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</si>
  <si>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</si>
  <si>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</si>
  <si>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</si>
  <si>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</si>
  <si>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</si>
  <si>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</si>
  <si>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</si>
  <si>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</si>
  <si>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</si>
  <si>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</si>
  <si>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</si>
  <si>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</si>
  <si>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</si>
  <si>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</si>
  <si>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</si>
  <si>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</si>
  <si>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</si>
  <si>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</si>
  <si>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</si>
  <si>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</si>
  <si>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</si>
  <si>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</si>
  <si>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</si>
  <si>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</si>
  <si>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</si>
  <si>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</si>
  <si>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</si>
  <si>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</si>
  <si>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</si>
  <si>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</si>
  <si>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</si>
  <si>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</si>
  <si>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</si>
  <si>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</si>
  <si>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</si>
  <si>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</si>
  <si>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</si>
  <si>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</si>
  <si>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</si>
  <si>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</si>
  <si>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</si>
  <si>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</si>
  <si>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</si>
  <si>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</si>
  <si>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</si>
  <si>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</si>
  <si>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</si>
  <si>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</si>
  <si>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</si>
  <si>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</si>
  <si>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</si>
  <si>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</si>
  <si>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</si>
  <si>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</si>
  <si>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</si>
  <si>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</si>
  <si>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</si>
  <si>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</si>
  <si>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</si>
  <si>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</si>
  <si>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</si>
  <si>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</si>
  <si>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</si>
  <si>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</si>
  <si>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</si>
  <si>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</si>
  <si>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</si>
  <si>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</si>
  <si>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</si>
  <si>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</si>
  <si>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</si>
  <si>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</si>
  <si>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</si>
  <si>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</si>
  <si>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</si>
  <si>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</si>
  <si>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</si>
  <si>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</si>
  <si>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</si>
  <si>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</si>
  <si>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</si>
  <si>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</si>
  <si>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</si>
  <si>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</si>
  <si>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</si>
  <si>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</si>
  <si>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</si>
  <si>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</si>
  <si>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</si>
  <si>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</si>
  <si>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</si>
  <si>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</si>
  <si>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</si>
  <si>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</si>
  <si>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</si>
  <si>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</si>
  <si>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</si>
  <si>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</si>
  <si>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</si>
  <si>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</si>
  <si>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</si>
  <si>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</si>
  <si>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</si>
  <si>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</si>
  <si>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</si>
  <si>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</si>
  <si>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</si>
  <si>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</si>
  <si>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</si>
  <si>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</si>
  <si>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</si>
  <si>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</si>
  <si>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</si>
  <si>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</si>
  <si>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</si>
  <si>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</si>
  <si>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</si>
  <si>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</si>
  <si>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</si>
  <si>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</si>
  <si>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</si>
  <si>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</si>
  <si>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</si>
  <si>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</si>
  <si>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</si>
  <si>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</si>
  <si>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</si>
  <si>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</si>
  <si>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</si>
  <si>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</si>
  <si>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</si>
  <si>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</si>
  <si>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</si>
  <si>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</si>
  <si>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</si>
  <si>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</si>
  <si>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</si>
  <si>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</si>
  <si>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</si>
  <si>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</si>
  <si>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</si>
  <si>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</si>
  <si>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</si>
  <si>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</si>
  <si>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</si>
  <si>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</si>
  <si>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</si>
  <si>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</si>
  <si>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</si>
  <si>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</si>
  <si>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</si>
  <si>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</si>
  <si>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</si>
  <si>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</si>
  <si>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</si>
  <si>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</si>
  <si>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</si>
  <si>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</si>
  <si>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</si>
  <si>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</si>
  <si>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</si>
  <si>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</si>
  <si>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</si>
  <si>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</si>
  <si>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</si>
  <si>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</si>
  <si>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</si>
  <si>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</si>
  <si>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</si>
  <si>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</si>
  <si>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</si>
  <si>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</si>
  <si>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</si>
  <si>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</si>
  <si>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</si>
  <si>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</si>
  <si>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</si>
  <si>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</si>
  <si>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</si>
  <si>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</si>
  <si>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</si>
  <si>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</si>
  <si>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</si>
  <si>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</si>
  <si>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</si>
  <si>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</si>
  <si>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</si>
  <si>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</si>
  <si>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</si>
  <si>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</si>
  <si>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</si>
  <si>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</si>
  <si>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</si>
  <si>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</si>
  <si>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</si>
  <si>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</si>
  <si>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</si>
  <si>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</si>
  <si>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</si>
  <si>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</si>
  <si>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</si>
  <si>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</si>
  <si>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</si>
  <si>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</si>
  <si>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</si>
  <si>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</si>
  <si>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</si>
  <si>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</si>
  <si>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</si>
  <si>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</si>
  <si>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</si>
  <si>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</si>
  <si>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</si>
  <si>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</si>
  <si>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</si>
  <si>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</si>
  <si>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</si>
  <si>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</si>
  <si>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</si>
  <si>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</si>
  <si>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</si>
  <si>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</si>
  <si>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</si>
  <si>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</si>
  <si>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</si>
  <si>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</si>
  <si>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</si>
  <si>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</si>
  <si>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</si>
  <si>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</si>
  <si>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</si>
  <si>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</si>
  <si>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</si>
  <si>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</si>
  <si>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</si>
  <si>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</si>
  <si>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</si>
  <si>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</si>
  <si>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</si>
  <si>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</si>
  <si>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</si>
  <si>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</si>
  <si>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</si>
  <si>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</si>
  <si>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</si>
  <si>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</si>
  <si>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</si>
  <si>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</si>
  <si>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</si>
  <si>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</si>
  <si>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</si>
  <si>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</si>
  <si>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</si>
  <si>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</si>
  <si>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</si>
  <si>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</si>
  <si>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</si>
  <si>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</si>
  <si>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</si>
  <si>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</si>
  <si>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</si>
  <si>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</si>
  <si>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</si>
  <si>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</si>
  <si>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</si>
  <si>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</si>
  <si>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</si>
  <si>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</si>
  <si>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</si>
  <si>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</si>
  <si>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</si>
  <si>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</si>
  <si>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</si>
  <si>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</si>
  <si>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</si>
  <si>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</si>
  <si>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</si>
  <si>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</si>
  <si>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</si>
  <si>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</si>
  <si>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</si>
  <si>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</si>
  <si>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</si>
  <si>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</si>
  <si>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</si>
  <si>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</si>
  <si>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</si>
  <si>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</si>
  <si>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</si>
  <si>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</si>
  <si>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</si>
  <si>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</si>
  <si>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</si>
  <si>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</si>
  <si>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</si>
  <si>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</si>
  <si>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</si>
  <si>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</si>
  <si>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</si>
  <si>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</si>
  <si>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</si>
  <si>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</si>
  <si>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</si>
  <si>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</si>
  <si>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</si>
  <si>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</si>
  <si>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</si>
  <si>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</si>
  <si>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</si>
  <si>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</si>
  <si>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</si>
  <si>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</si>
  <si>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</si>
  <si>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</si>
  <si>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</si>
  <si>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</si>
  <si>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</si>
  <si>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</si>
  <si>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</si>
  <si>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</si>
  <si>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</si>
  <si>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</si>
  <si>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</si>
  <si>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</si>
  <si>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</si>
  <si>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</si>
  <si>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</si>
  <si>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</si>
  <si>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</si>
  <si>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</si>
  <si>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</si>
  <si>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</si>
  <si>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</si>
  <si>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</si>
  <si>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</si>
  <si>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</si>
  <si>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</si>
  <si>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</si>
  <si>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</si>
  <si>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</si>
  <si>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</si>
  <si>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</si>
  <si>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</si>
  <si>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</si>
  <si>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</si>
  <si>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</si>
  <si>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</si>
  <si>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</si>
  <si>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</si>
  <si>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</si>
  <si>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</si>
  <si>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</si>
  <si>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</si>
  <si>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</si>
  <si>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</si>
  <si>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</si>
  <si>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</si>
  <si>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</si>
  <si>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</si>
  <si>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</si>
  <si>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</si>
  <si>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</si>
  <si>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</si>
  <si>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</si>
  <si>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</si>
  <si>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</si>
  <si>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</si>
  <si>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</si>
  <si>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</si>
  <si>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</si>
  <si>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</si>
  <si>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</si>
  <si>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</si>
  <si>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</si>
  <si>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</si>
  <si>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</si>
  <si>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</si>
  <si>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</si>
  <si>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</si>
  <si>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</si>
  <si>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</si>
  <si>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</si>
  <si>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</si>
  <si>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</si>
  <si>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</si>
  <si>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</si>
  <si>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</si>
  <si>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</si>
  <si>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</si>
  <si>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</si>
  <si>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</si>
  <si>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</si>
  <si>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</si>
  <si>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</si>
  <si>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</si>
  <si>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</si>
  <si>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</si>
  <si>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</si>
  <si>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</si>
  <si>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</si>
  <si>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</si>
  <si>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</si>
  <si>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</si>
  <si>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</si>
  <si>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</si>
  <si>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</si>
  <si>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</si>
  <si>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</si>
  <si>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</si>
  <si>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</si>
  <si>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</si>
  <si>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</si>
  <si>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</si>
  <si>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</si>
  <si>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</si>
  <si>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</si>
  <si>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</si>
  <si>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</si>
  <si>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</si>
  <si>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</si>
  <si>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</si>
  <si>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</si>
  <si>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</si>
  <si>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</si>
  <si>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</si>
  <si>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</si>
  <si>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</si>
  <si>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</si>
  <si>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</si>
  <si>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</si>
  <si>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</si>
  <si>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</si>
  <si>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</si>
  <si>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</si>
  <si>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</si>
  <si>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</si>
  <si>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</si>
  <si>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</si>
  <si>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</si>
  <si>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</si>
  <si>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</si>
  <si>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</si>
  <si>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</si>
  <si>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</si>
  <si>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</si>
  <si>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</si>
  <si>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</si>
  <si>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</si>
  <si>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</si>
  <si>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</si>
  <si>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</si>
  <si>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</si>
  <si>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</si>
  <si>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</si>
  <si>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</si>
  <si>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</si>
  <si>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</si>
  <si>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</si>
  <si>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</si>
  <si>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</si>
  <si>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</si>
  <si>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</si>
  <si>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</si>
  <si>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</si>
  <si>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</si>
  <si>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</si>
  <si>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</si>
  <si>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</si>
  <si>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</si>
  <si>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</si>
  <si>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</si>
  <si>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</si>
  <si>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</si>
  <si>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</si>
  <si>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</si>
  <si>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</si>
  <si>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</si>
  <si>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</si>
  <si>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</si>
  <si>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</si>
  <si>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</si>
  <si>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</si>
  <si>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</si>
  <si>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</si>
  <si>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</si>
  <si>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</si>
  <si>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</si>
  <si>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</si>
  <si>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</si>
  <si>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</si>
  <si>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</si>
  <si>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</si>
  <si>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</si>
  <si>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</si>
  <si>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</si>
  <si>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</si>
  <si>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</si>
  <si>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</si>
  <si>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</si>
  <si>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</si>
  <si>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</si>
  <si>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</si>
  <si>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</si>
  <si>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</si>
  <si>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</si>
  <si>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</si>
  <si>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</si>
  <si>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</si>
  <si>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</si>
  <si>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</si>
  <si>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</si>
  <si>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</si>
  <si>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</si>
  <si>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</si>
  <si>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</si>
  <si>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</si>
  <si>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</si>
  <si>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</si>
  <si>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</si>
  <si>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</si>
  <si>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</si>
  <si>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</si>
  <si>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</si>
  <si>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</si>
  <si>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</si>
  <si>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</si>
  <si>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</si>
  <si>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</si>
  <si>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</si>
  <si>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</si>
  <si>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</si>
  <si>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</si>
  <si>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</si>
  <si>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</si>
  <si>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</si>
  <si>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</si>
  <si>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</si>
  <si>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</si>
  <si>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</si>
  <si>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</si>
  <si>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</si>
  <si>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</si>
  <si>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</si>
  <si>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</si>
  <si>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</si>
  <si>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</si>
  <si>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</si>
  <si>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</si>
  <si>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</si>
  <si>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</si>
  <si>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</si>
  <si>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</si>
  <si>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</si>
  <si>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</si>
  <si>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</si>
  <si>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</si>
  <si>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</si>
  <si>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</si>
  <si>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</si>
  <si>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</si>
  <si>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</si>
  <si>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</si>
  <si>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</si>
  <si>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</si>
  <si>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</si>
  <si>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</si>
  <si>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</si>
  <si>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</si>
  <si>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</si>
  <si>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</si>
  <si>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</si>
  <si>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</si>
  <si>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</si>
  <si>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</si>
  <si>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</si>
  <si>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</si>
  <si>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</si>
  <si>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</si>
  <si>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</si>
  <si>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</si>
  <si>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</si>
  <si>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</si>
  <si>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</si>
  <si>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</si>
  <si>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</si>
  <si>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</si>
  <si>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</si>
  <si>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</si>
  <si>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</si>
  <si>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</si>
  <si>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</si>
  <si>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</si>
  <si>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</si>
  <si>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</si>
  <si>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</si>
  <si>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</si>
  <si>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</si>
  <si>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</si>
  <si>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</si>
  <si>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</si>
  <si>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</si>
  <si>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</si>
  <si>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</si>
  <si>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</si>
  <si>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</si>
  <si>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</si>
  <si>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</si>
  <si>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</si>
  <si>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</si>
  <si>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</si>
  <si>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</si>
  <si>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</si>
  <si>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</si>
  <si>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</si>
  <si>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</si>
  <si>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</si>
  <si>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</si>
  <si>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</si>
  <si>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</si>
  <si>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</si>
  <si>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</si>
  <si>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</si>
  <si>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</si>
  <si>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</si>
  <si>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</si>
  <si>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</si>
  <si>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</si>
  <si>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</si>
  <si>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</si>
  <si>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</si>
  <si>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</si>
  <si>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</si>
  <si>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</si>
  <si>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</si>
  <si>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</si>
  <si>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</si>
  <si>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</si>
  <si>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</si>
  <si>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</si>
  <si>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</si>
  <si>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</si>
  <si>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</si>
  <si>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</si>
  <si>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</si>
  <si>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</si>
  <si>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</si>
  <si>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</si>
  <si>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</si>
  <si>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</si>
  <si>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</si>
  <si>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</si>
  <si>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</si>
  <si>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</si>
  <si>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</si>
  <si>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</si>
  <si>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</si>
  <si>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</si>
  <si>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</si>
  <si>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</si>
  <si>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</si>
  <si>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</si>
  <si>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</si>
  <si>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</si>
  <si>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</si>
  <si>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</si>
  <si>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</si>
  <si>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</si>
  <si>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</si>
  <si>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</si>
  <si>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</si>
  <si>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</si>
  <si>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</si>
  <si>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</si>
  <si>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</si>
  <si>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</si>
  <si>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</si>
  <si>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</si>
  <si>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</si>
  <si>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</si>
  <si>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</si>
  <si>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</si>
  <si>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</si>
  <si>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</si>
  <si>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</si>
  <si>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</si>
  <si>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</si>
  <si>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</si>
  <si>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</si>
  <si>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</si>
  <si>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</si>
  <si>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</si>
  <si>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</si>
  <si>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</si>
  <si>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</si>
  <si>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</si>
  <si>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</si>
  <si>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</si>
  <si>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</si>
  <si>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</si>
  <si>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</si>
  <si>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</si>
  <si>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</si>
  <si>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</si>
  <si>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</si>
  <si>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</si>
  <si>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</si>
  <si>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</si>
  <si>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</si>
  <si>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</si>
  <si>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</si>
  <si>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</si>
  <si>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</si>
  <si>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</si>
  <si>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</si>
  <si>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</si>
  <si>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</si>
  <si>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</si>
  <si>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</si>
  <si>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</si>
  <si>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</si>
  <si>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</si>
  <si>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</si>
  <si>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</si>
  <si>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</si>
  <si>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</si>
  <si>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</si>
  <si>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</si>
  <si>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</si>
  <si>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</si>
  <si>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</si>
  <si>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</si>
  <si>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</si>
  <si>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</si>
  <si>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</si>
  <si>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</si>
  <si>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</si>
  <si>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</si>
  <si>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</si>
  <si>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</si>
  <si>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</si>
  <si>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</si>
  <si>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</si>
  <si>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</si>
  <si>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</si>
  <si>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</si>
  <si>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</si>
  <si>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</si>
  <si>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</si>
  <si>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</si>
  <si>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</si>
  <si>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</si>
  <si>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</si>
  <si>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</si>
  <si>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</si>
  <si>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</si>
  <si>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</si>
  <si>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</si>
  <si>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</si>
  <si>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</si>
  <si>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</si>
  <si>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</si>
  <si>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</si>
  <si>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</si>
  <si>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</si>
  <si>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</si>
  <si>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</si>
  <si>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</si>
  <si>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</si>
  <si>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</si>
  <si>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</si>
  <si>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</si>
  <si>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</si>
  <si>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</si>
  <si>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</si>
  <si>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</si>
  <si>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</si>
  <si>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</si>
  <si>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</si>
  <si>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</si>
  <si>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</si>
  <si>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</si>
  <si>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</si>
  <si>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</si>
  <si>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</si>
  <si>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</si>
  <si>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</si>
  <si>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</si>
  <si>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</si>
  <si>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</si>
  <si>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</si>
  <si>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</si>
  <si>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</si>
  <si>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</si>
  <si>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</si>
  <si>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</si>
  <si>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</si>
  <si>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</si>
  <si>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</si>
  <si>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</si>
  <si>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</si>
  <si>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</si>
  <si>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</si>
  <si>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</si>
  <si>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</si>
  <si>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</si>
  <si>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</si>
  <si>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</si>
  <si>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</si>
  <si>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</si>
  <si>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</si>
  <si>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</si>
  <si>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</si>
  <si>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</si>
  <si>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</si>
  <si>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</si>
  <si>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</si>
  <si>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</si>
  <si>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</si>
  <si>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</si>
  <si>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</si>
  <si>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</si>
  <si>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</si>
  <si>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</si>
  <si>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</si>
  <si>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</si>
  <si>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</si>
  <si>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</si>
  <si>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</si>
  <si>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</si>
  <si>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</si>
  <si>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</si>
  <si>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</si>
  <si>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</si>
  <si>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</si>
  <si>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</si>
  <si>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</si>
  <si>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</si>
  <si>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</si>
  <si>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</si>
  <si>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</si>
  <si>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</si>
  <si>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</si>
  <si>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</si>
  <si>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</si>
  <si>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</si>
  <si>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</si>
  <si>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</si>
  <si>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</si>
  <si>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</si>
  <si>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</si>
  <si>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</si>
  <si>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</si>
  <si>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</si>
  <si>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</si>
  <si>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</si>
  <si>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</si>
  <si>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</si>
  <si>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</si>
  <si>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</si>
  <si>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</si>
  <si>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</si>
  <si>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</si>
  <si>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</si>
  <si>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</si>
  <si>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</si>
  <si>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</si>
  <si>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</si>
  <si>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</si>
  <si>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</si>
  <si>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</si>
  <si>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</si>
  <si>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</si>
  <si>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</si>
  <si>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</si>
  <si>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</si>
  <si>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</si>
  <si>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</si>
  <si>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</si>
  <si>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</si>
  <si>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</si>
  <si>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</si>
  <si>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</si>
  <si>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</si>
  <si>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</si>
  <si>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</si>
  <si>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</si>
  <si>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</si>
  <si>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</si>
  <si>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</si>
  <si>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</si>
  <si>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</si>
  <si>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</si>
  <si>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</si>
  <si>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</si>
  <si>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</si>
  <si>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</si>
  <si>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</si>
  <si>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</si>
  <si>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</si>
  <si>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</si>
  <si>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</si>
  <si>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</si>
  <si>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</si>
  <si>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</si>
  <si>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</si>
  <si>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</si>
  <si>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</si>
  <si>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</si>
  <si>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</si>
  <si>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</si>
  <si>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</si>
  <si>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</si>
  <si>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</si>
  <si>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</si>
  <si>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</si>
  <si>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</si>
  <si>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</si>
  <si>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</si>
  <si>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</si>
  <si>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</si>
  <si>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</si>
  <si>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</si>
  <si>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</si>
  <si>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</si>
  <si>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</si>
  <si>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</si>
  <si>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</si>
  <si>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</si>
  <si>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</si>
  <si>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</si>
  <si>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</si>
  <si>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</si>
  <si>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</si>
  <si>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</si>
  <si>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</si>
  <si>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</si>
  <si>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</si>
  <si>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</si>
  <si>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</si>
  <si>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</si>
  <si>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</si>
  <si>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</si>
  <si>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</si>
  <si>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</si>
  <si>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</si>
  <si>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</si>
  <si>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</si>
  <si>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</si>
  <si>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</si>
  <si>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</si>
  <si>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</si>
  <si>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</si>
  <si>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</si>
  <si>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</si>
  <si>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</si>
  <si>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</si>
  <si>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</si>
  <si>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</si>
  <si>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</si>
  <si>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</si>
  <si>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</si>
  <si>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</si>
  <si>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</si>
  <si>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</si>
  <si>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</si>
  <si>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</si>
  <si>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</si>
  <si>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</si>
  <si>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</si>
  <si>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</si>
  <si>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</si>
  <si>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</si>
  <si>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</si>
  <si>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</si>
  <si>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</si>
  <si>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</si>
  <si>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</si>
  <si>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</si>
  <si>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</si>
  <si>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</si>
  <si>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</si>
  <si>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</si>
  <si>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</si>
  <si>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</si>
  <si>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</si>
  <si>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</si>
  <si>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</si>
  <si>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</si>
  <si>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</si>
  <si>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</si>
  <si>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</si>
  <si>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</si>
  <si>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</si>
  <si>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</si>
  <si>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</si>
  <si>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</si>
  <si>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</si>
  <si>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</si>
  <si>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</si>
  <si>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</si>
  <si>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</si>
  <si>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</si>
  <si>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</si>
  <si>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</si>
  <si>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</si>
  <si>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</si>
  <si>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</si>
  <si>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</si>
  <si>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</si>
  <si>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</si>
  <si>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</si>
  <si>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</si>
  <si>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</si>
  <si>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</si>
  <si>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</si>
  <si>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</si>
  <si>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</si>
  <si>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</si>
  <si>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</si>
  <si>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</si>
  <si>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</si>
  <si>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</si>
  <si>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</si>
  <si>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</si>
  <si>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</si>
  <si>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</si>
  <si>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</si>
  <si>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</si>
  <si>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</si>
  <si>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</si>
  <si>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</si>
  <si>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</si>
  <si>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</si>
  <si>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</si>
  <si>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</si>
  <si>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</si>
  <si>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</si>
  <si>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</si>
  <si>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</si>
  <si>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</si>
  <si>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</si>
  <si>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</si>
  <si>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</si>
  <si>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</si>
  <si>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</si>
  <si>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</si>
  <si>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</si>
  <si>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</si>
  <si>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</si>
  <si>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</si>
  <si>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</si>
  <si>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</si>
  <si>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</si>
  <si>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</si>
  <si>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</si>
  <si>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</si>
  <si>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</si>
  <si>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</si>
  <si>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</si>
  <si>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</si>
  <si>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</si>
  <si>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</si>
  <si>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</si>
  <si>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</si>
  <si>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</si>
  <si>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</si>
  <si>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</si>
  <si>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</si>
  <si>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</si>
  <si>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</si>
  <si>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</si>
  <si>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</si>
  <si>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</si>
  <si>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</si>
  <si>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</si>
  <si>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</si>
  <si>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</si>
  <si>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</si>
  <si>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</si>
  <si>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</si>
  <si>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</si>
  <si>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</si>
  <si>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</si>
  <si>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</si>
  <si>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</si>
  <si>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</si>
  <si>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</si>
  <si>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</si>
  <si>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</si>
  <si>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</si>
  <si>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</si>
  <si>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</si>
  <si>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</si>
  <si>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</si>
  <si>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</si>
  <si>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</si>
  <si>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</si>
  <si>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</si>
  <si>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</si>
  <si>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</si>
  <si>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</si>
  <si>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</si>
  <si>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</si>
  <si>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</si>
  <si>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</si>
  <si>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</si>
  <si>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</si>
  <si>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</si>
  <si>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</si>
  <si>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</si>
  <si>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</si>
  <si>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</si>
  <si>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</si>
  <si>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</si>
  <si>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</si>
  <si>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</si>
  <si>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</si>
  <si>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</si>
  <si>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</si>
  <si>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</si>
  <si>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</si>
  <si>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</si>
  <si>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</si>
  <si>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</si>
  <si>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</si>
  <si>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</si>
  <si>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</si>
  <si>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</si>
  <si>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</si>
  <si>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</si>
  <si>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</si>
  <si>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</si>
  <si>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</si>
  <si>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</si>
  <si>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</si>
  <si>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</si>
  <si>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</si>
  <si>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</si>
  <si>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</si>
  <si>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</si>
  <si>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</si>
  <si>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</si>
  <si>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</si>
  <si>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</si>
  <si>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</si>
  <si>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</si>
  <si>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</si>
  <si>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</si>
  <si>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</si>
  <si>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</si>
  <si>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</si>
  <si>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</si>
  <si>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</si>
  <si>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</si>
  <si>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</si>
  <si>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</si>
  <si>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</si>
  <si>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</si>
  <si>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</si>
  <si>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</si>
  <si>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</si>
  <si>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</si>
  <si>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</si>
  <si>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</si>
  <si>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</si>
  <si>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</si>
  <si>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</si>
  <si>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</si>
  <si>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</si>
  <si>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</si>
  <si>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</si>
  <si>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</si>
  <si>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</si>
  <si>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</si>
  <si>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</si>
  <si>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</si>
  <si>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</si>
  <si>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</si>
  <si>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</si>
  <si>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</si>
  <si>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</si>
  <si>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</si>
  <si>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</si>
  <si>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</si>
  <si>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</si>
  <si>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</si>
  <si>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</si>
  <si>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</si>
  <si>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</si>
  <si>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</si>
  <si>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</si>
  <si>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</si>
  <si>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</si>
  <si>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</si>
  <si>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</si>
  <si>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</si>
  <si>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</si>
  <si>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</si>
  <si>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</si>
  <si>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</si>
  <si>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</si>
  <si>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</si>
  <si>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</si>
  <si>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</si>
  <si>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</si>
  <si>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</si>
  <si>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</si>
  <si>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</si>
  <si>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</si>
  <si>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</si>
  <si>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</si>
  <si>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</si>
  <si>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</si>
  <si>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</si>
  <si>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</si>
  <si>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</si>
  <si>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</si>
  <si>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</si>
  <si>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</si>
  <si>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</si>
  <si>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</si>
  <si>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</si>
  <si>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</si>
  <si>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</si>
  <si>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</si>
  <si>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</si>
  <si>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</si>
  <si>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</si>
  <si>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</si>
  <si>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</si>
  <si>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</si>
  <si>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</si>
  <si>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</si>
  <si>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</si>
  <si>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</si>
  <si>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</si>
  <si>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</si>
  <si>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</si>
  <si>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</si>
  <si>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</si>
  <si>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</si>
  <si>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</si>
  <si>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</si>
  <si>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</si>
  <si>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</si>
  <si>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</si>
  <si>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</si>
  <si>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</si>
  <si>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</si>
  <si>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</si>
  <si>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</si>
  <si>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</si>
  <si>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</si>
  <si>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</si>
  <si>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</si>
  <si>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</si>
  <si>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</si>
  <si>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</si>
  <si>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</si>
  <si>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</si>
  <si>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</si>
  <si>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</si>
  <si>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</si>
  <si>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</si>
  <si>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</si>
  <si>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</si>
  <si>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</si>
  <si>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</si>
  <si>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</si>
  <si>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</si>
  <si>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</si>
  <si>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</si>
  <si>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</si>
  <si>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</si>
  <si>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</si>
  <si>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</si>
  <si>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</si>
  <si>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</si>
  <si>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</si>
  <si>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</si>
  <si>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</si>
  <si>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</si>
  <si>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</si>
  <si>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</si>
  <si>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</si>
  <si>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</si>
  <si>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</si>
  <si>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</si>
  <si>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</si>
  <si>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</si>
  <si>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</si>
  <si>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</si>
  <si>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</si>
  <si>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</si>
  <si>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</si>
  <si>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</si>
  <si>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</si>
  <si>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</si>
  <si>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</si>
  <si>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</si>
  <si>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</si>
  <si>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</si>
  <si>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</si>
  <si>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</si>
  <si>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</si>
  <si>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</si>
  <si>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</si>
  <si>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</si>
  <si>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</si>
  <si>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</si>
  <si>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</si>
  <si>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</si>
  <si>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</si>
  <si>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</si>
  <si>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</si>
  <si>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</si>
  <si>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</si>
  <si>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</si>
  <si>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</si>
  <si>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</si>
  <si>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</si>
  <si>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</si>
  <si>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</si>
  <si>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</si>
  <si>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</si>
  <si>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</si>
  <si>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</si>
  <si>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</si>
  <si>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</si>
  <si>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</si>
  <si>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</si>
  <si>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</si>
  <si>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</si>
  <si>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</si>
  <si>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</si>
  <si>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</si>
  <si>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</si>
  <si>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</si>
  <si>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</si>
  <si>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</si>
  <si>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</si>
  <si>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</si>
  <si>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</si>
  <si>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</si>
  <si>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</si>
  <si>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</si>
  <si>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</si>
  <si>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</si>
  <si>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</si>
  <si>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</si>
  <si>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</si>
  <si>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</si>
  <si>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</si>
  <si>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</si>
  <si>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</si>
  <si>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</si>
  <si>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</si>
  <si>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</si>
  <si>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</si>
  <si>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</si>
  <si>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</si>
  <si>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</si>
  <si>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</si>
  <si>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</si>
  <si>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</si>
  <si>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</si>
  <si>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</si>
  <si>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</si>
  <si>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</si>
  <si>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</si>
  <si>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</si>
  <si>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</si>
  <si>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</si>
  <si>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</si>
  <si>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</si>
  <si>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</si>
  <si>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</si>
  <si>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</si>
  <si>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</si>
  <si>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</si>
  <si>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</si>
  <si>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</si>
  <si>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</si>
  <si>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</si>
  <si>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</si>
  <si>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</si>
  <si>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</si>
  <si>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</si>
  <si>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</si>
  <si>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</si>
  <si>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</si>
  <si>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</si>
  <si>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</si>
  <si>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</si>
  <si>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</si>
  <si>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</si>
  <si>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</si>
  <si>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</si>
  <si>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</si>
  <si>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</si>
  <si>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</si>
  <si>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</si>
  <si>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</si>
  <si>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</si>
  <si>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</si>
  <si>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</si>
  <si>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</si>
  <si>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</si>
  <si>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</si>
  <si>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</si>
  <si>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</si>
  <si>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</si>
  <si>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</si>
  <si>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</si>
  <si>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</si>
  <si>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</si>
  <si>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</si>
  <si>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</si>
  <si>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</si>
  <si>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</si>
  <si>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</si>
  <si>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</si>
  <si>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</si>
  <si>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</si>
  <si>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</si>
  <si>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</si>
  <si>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</si>
  <si>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</si>
  <si>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</si>
  <si>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</si>
  <si>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</si>
  <si>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</si>
  <si>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</si>
  <si>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</si>
  <si>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</si>
  <si>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</si>
  <si>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</si>
  <si>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</si>
  <si>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</si>
  <si>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</si>
  <si>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</si>
  <si>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</si>
  <si>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</si>
  <si>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</si>
  <si>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</si>
  <si>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</si>
  <si>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</si>
  <si>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</si>
  <si>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</si>
  <si>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</si>
  <si>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</si>
  <si>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</si>
  <si>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</si>
  <si>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</si>
  <si>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</si>
  <si>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</si>
  <si>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</si>
  <si>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</si>
  <si>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</si>
  <si>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</si>
  <si>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</si>
  <si>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</si>
  <si>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</si>
  <si>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</si>
  <si>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</si>
  <si>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</si>
  <si>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</si>
  <si>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</si>
  <si>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</si>
  <si>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</si>
  <si>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</si>
  <si>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</si>
  <si>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</si>
  <si>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</si>
  <si>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</si>
  <si>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</si>
  <si>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</si>
  <si>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</si>
  <si>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</si>
  <si>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</si>
  <si>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</si>
  <si>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</si>
  <si>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</si>
  <si>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</si>
  <si>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</si>
  <si>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</si>
  <si>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</si>
  <si>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</si>
  <si>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</si>
  <si>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</si>
  <si>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</si>
  <si>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</si>
  <si>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</si>
  <si>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</si>
  <si>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</si>
  <si>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</si>
  <si>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</si>
  <si>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</si>
  <si>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</si>
  <si>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</si>
  <si>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</si>
  <si>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</si>
  <si>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</si>
  <si>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</si>
  <si>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</si>
  <si>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</si>
  <si>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</si>
  <si>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</si>
  <si>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</si>
  <si>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</si>
  <si>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</si>
  <si>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</si>
  <si>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</si>
  <si>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</si>
  <si>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</si>
  <si>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</si>
  <si>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</si>
  <si>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</si>
  <si>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</si>
  <si>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</si>
  <si>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</si>
  <si>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</si>
  <si>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</si>
  <si>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</si>
  <si>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</si>
  <si>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</si>
  <si>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</si>
  <si>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</si>
  <si>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</si>
  <si>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</si>
  <si>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</si>
  <si>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</si>
  <si>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</si>
  <si>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</si>
  <si>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</si>
  <si>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</si>
  <si>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</si>
  <si>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</si>
  <si>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</si>
  <si>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</si>
  <si>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</si>
  <si>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</si>
  <si>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</si>
  <si>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</si>
  <si>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</si>
  <si>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</si>
  <si>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</si>
  <si>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</si>
  <si>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</si>
  <si>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</si>
  <si>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</si>
  <si>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</si>
  <si>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</si>
  <si>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</si>
  <si>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</si>
  <si>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</si>
  <si>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</si>
  <si>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</si>
  <si>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</si>
  <si>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</si>
  <si>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</si>
  <si>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</si>
  <si>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</si>
  <si>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</si>
  <si>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</si>
  <si>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</si>
  <si>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</si>
  <si>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</si>
  <si>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</si>
  <si>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</si>
  <si>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</si>
  <si>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</si>
  <si>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</si>
  <si>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</si>
  <si>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</si>
  <si>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</si>
  <si>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</si>
  <si>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</si>
  <si>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</si>
  <si>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</si>
  <si>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</si>
  <si>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</si>
  <si>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</si>
  <si>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</si>
  <si>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</si>
  <si>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</si>
  <si>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</si>
  <si>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</si>
  <si>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</si>
  <si>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</si>
  <si>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</si>
  <si>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</si>
  <si>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</si>
  <si>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</si>
  <si>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</si>
  <si>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</si>
  <si>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</si>
  <si>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</si>
  <si>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</si>
  <si>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</si>
  <si>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</si>
  <si>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</si>
  <si>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</si>
  <si>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</si>
  <si>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</si>
  <si>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</si>
  <si>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</si>
  <si>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</si>
  <si>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</si>
  <si>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</si>
  <si>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</si>
  <si>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</si>
  <si>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</si>
  <si>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</si>
  <si>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</si>
  <si>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</si>
  <si>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</si>
  <si>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</si>
  <si>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</si>
  <si>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</si>
  <si>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</si>
  <si>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</si>
  <si>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</si>
  <si>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</si>
  <si>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</si>
  <si>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</si>
  <si>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</si>
  <si>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</si>
  <si>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</si>
  <si>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</si>
  <si>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</si>
  <si>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</si>
  <si>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</si>
  <si>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</si>
  <si>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</si>
  <si>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</si>
  <si>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</si>
  <si>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</si>
  <si>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</si>
  <si>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</si>
  <si>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</si>
  <si>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</si>
  <si>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</si>
  <si>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</si>
  <si>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</si>
  <si>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</si>
  <si>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</si>
  <si>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</si>
  <si>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</si>
  <si>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</si>
  <si>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</si>
  <si>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</si>
  <si>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</si>
  <si>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</si>
  <si>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</si>
  <si>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</si>
  <si>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</si>
  <si>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</si>
  <si>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</si>
  <si>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</si>
  <si>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</si>
  <si>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</si>
  <si>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</si>
  <si>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</si>
  <si>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</si>
  <si>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</si>
  <si>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</si>
  <si>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</si>
  <si>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</si>
  <si>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</si>
  <si>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</si>
  <si>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</si>
  <si>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</si>
  <si>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</si>
  <si>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</si>
  <si>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</si>
  <si>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</si>
  <si>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</si>
  <si>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</si>
  <si>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</si>
  <si>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</si>
  <si>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</si>
  <si>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</si>
  <si>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</si>
  <si>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</si>
  <si>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</si>
  <si>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</si>
  <si>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</si>
  <si>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</si>
  <si>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</si>
  <si>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</si>
  <si>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</si>
  <si>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</si>
  <si>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</si>
  <si>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</si>
  <si>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</si>
  <si>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</si>
  <si>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</si>
  <si>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</si>
  <si>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</si>
  <si>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</si>
  <si>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</si>
  <si>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</si>
  <si>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</si>
  <si>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</si>
  <si>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</si>
  <si>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</si>
  <si>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</si>
  <si>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</si>
  <si>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</si>
  <si>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</si>
  <si>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</si>
  <si>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</si>
  <si>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</si>
  <si>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</si>
  <si>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</si>
  <si>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</si>
  <si>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</si>
  <si>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</si>
  <si>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</si>
  <si>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</si>
  <si>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</si>
  <si>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</si>
  <si>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</si>
  <si>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</si>
  <si>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</si>
  <si>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</si>
  <si>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</si>
  <si>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</si>
  <si>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</si>
  <si>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</si>
  <si>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</si>
  <si>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</si>
  <si>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</si>
  <si>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</si>
  <si>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</si>
  <si>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</si>
  <si>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</si>
  <si>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</si>
  <si>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</si>
  <si>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</si>
  <si>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</si>
  <si>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</si>
  <si>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</si>
  <si>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</si>
  <si>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</si>
  <si>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</si>
  <si>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</si>
  <si>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</si>
  <si>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</si>
  <si>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</si>
  <si>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</si>
  <si>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</si>
  <si>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</si>
  <si>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</si>
  <si>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</si>
  <si>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</si>
  <si>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</si>
  <si>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</si>
  <si>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</si>
  <si>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</si>
  <si>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</si>
  <si>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</si>
  <si>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</si>
  <si>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</si>
  <si>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</si>
  <si>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</si>
  <si>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</si>
  <si>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</si>
  <si>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</si>
  <si>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</si>
  <si>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</si>
  <si>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</si>
  <si>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</si>
  <si>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</si>
  <si>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</si>
  <si>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</si>
  <si>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</si>
  <si>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</si>
  <si>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</si>
  <si>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</si>
  <si>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</si>
  <si>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</si>
  <si>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</si>
  <si>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</si>
  <si>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</si>
  <si>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</si>
  <si>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</si>
  <si>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</si>
  <si>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</si>
  <si>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</si>
  <si>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</si>
  <si>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</si>
  <si>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</si>
  <si>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</si>
  <si>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</si>
  <si>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</si>
  <si>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</si>
  <si>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</si>
  <si>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</si>
  <si>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</si>
  <si>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</si>
  <si>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</si>
  <si>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</si>
  <si>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</si>
  <si>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</si>
  <si>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</si>
  <si>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</si>
  <si>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</si>
  <si>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</si>
  <si>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</si>
  <si>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</si>
  <si>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</si>
  <si>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</si>
  <si>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</si>
  <si>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</si>
  <si>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</si>
  <si>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</si>
  <si>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</si>
  <si>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</si>
  <si>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</si>
  <si>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</si>
  <si>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</si>
  <si>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</si>
  <si>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</si>
  <si>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</si>
  <si>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</si>
  <si>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</si>
  <si>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</si>
  <si>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</si>
  <si>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</si>
  <si>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</si>
  <si>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</si>
  <si>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</si>
  <si>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</si>
  <si>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</si>
  <si>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</si>
  <si>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</si>
  <si>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</si>
  <si>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</si>
  <si>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</si>
  <si>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</si>
  <si>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</si>
  <si>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</si>
  <si>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</si>
  <si>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</si>
  <si>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</si>
  <si>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</si>
  <si>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</si>
  <si>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</si>
  <si>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</si>
  <si>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</si>
  <si>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</si>
  <si>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</si>
  <si>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</si>
  <si>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</si>
  <si>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</si>
  <si>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</si>
  <si>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</si>
  <si>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</si>
  <si>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</si>
  <si>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</si>
  <si>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</si>
  <si>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</si>
  <si>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</si>
  <si>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</si>
  <si>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</si>
  <si>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</si>
  <si>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</si>
  <si>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</si>
  <si>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</si>
  <si>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</si>
  <si>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</si>
  <si>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</si>
  <si>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</si>
  <si>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</si>
  <si>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</si>
  <si>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</si>
  <si>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</si>
  <si>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</si>
  <si>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</si>
  <si>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</si>
  <si>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</si>
  <si>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</si>
  <si>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</si>
  <si>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</si>
  <si>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</si>
  <si>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</si>
  <si>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</si>
  <si>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</si>
  <si>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</si>
  <si>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</si>
  <si>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</si>
  <si>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</si>
  <si>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</si>
  <si>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</si>
  <si>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</si>
  <si>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</si>
  <si>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</si>
  <si>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</si>
  <si>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</si>
  <si>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</si>
  <si>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</si>
  <si>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</si>
  <si>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</si>
  <si>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</si>
  <si>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</si>
  <si>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</si>
  <si>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</si>
  <si>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</si>
  <si>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</si>
  <si>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</si>
  <si>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</si>
  <si>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</si>
  <si>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</si>
  <si>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</si>
  <si>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</si>
  <si>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</si>
  <si>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</si>
  <si>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</si>
  <si>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</si>
  <si>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</si>
  <si>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</si>
  <si>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</si>
  <si>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</si>
  <si>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</si>
  <si>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</si>
  <si>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</si>
  <si>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</si>
  <si>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</si>
  <si>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</si>
  <si>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</si>
  <si>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</si>
  <si>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</si>
  <si>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</si>
  <si>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</si>
  <si>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</si>
  <si>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</si>
  <si>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</si>
  <si>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</si>
  <si>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</si>
  <si>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</si>
  <si>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</si>
  <si>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</si>
  <si>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</si>
  <si>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</si>
  <si>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</si>
  <si>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</si>
  <si>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</si>
  <si>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</si>
  <si>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</si>
  <si>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</si>
  <si>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</si>
  <si>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</si>
  <si>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</si>
  <si>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</si>
  <si>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</si>
  <si>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</si>
  <si>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</si>
  <si>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</si>
  <si>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</si>
  <si>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</si>
  <si>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</si>
  <si>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</si>
  <si>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</si>
  <si>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</si>
  <si>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</si>
  <si>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</si>
  <si>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</si>
  <si>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</si>
  <si>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</si>
  <si>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</si>
  <si>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</si>
  <si>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</si>
  <si>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</si>
  <si>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</si>
  <si>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</si>
  <si>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</si>
  <si>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</si>
  <si>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</si>
  <si>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</si>
  <si>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</si>
  <si>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</si>
  <si>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</si>
  <si>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</si>
  <si>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</si>
  <si>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</si>
  <si>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</si>
  <si>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</si>
  <si>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</si>
  <si>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</si>
  <si>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</si>
  <si>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</si>
  <si>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</si>
  <si>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</si>
  <si>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</si>
  <si>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</si>
  <si>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</si>
  <si>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</si>
  <si>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</si>
  <si>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</si>
  <si>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</si>
  <si>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</si>
  <si>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</si>
  <si>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</si>
  <si>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</si>
  <si>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</si>
  <si>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</si>
  <si>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</si>
  <si>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</si>
  <si>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</si>
  <si>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</si>
  <si>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</si>
  <si>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</si>
  <si>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</si>
  <si>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</si>
  <si>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</si>
  <si>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</si>
  <si>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</si>
  <si>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</si>
  <si>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</si>
  <si>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</si>
  <si>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</si>
  <si>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</si>
  <si>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</si>
  <si>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</si>
  <si>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</si>
  <si>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</si>
  <si>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</si>
  <si>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</si>
  <si>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</si>
  <si>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</si>
  <si>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</si>
  <si>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</si>
  <si>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</si>
  <si>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</si>
  <si>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</si>
  <si>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</si>
  <si>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</si>
  <si>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</si>
  <si>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</si>
  <si>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</si>
  <si>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</si>
  <si>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</si>
  <si>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</si>
  <si>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</si>
  <si>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</si>
  <si>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</si>
  <si>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</si>
  <si>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</si>
  <si>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</si>
  <si>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</si>
  <si>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</si>
  <si>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</si>
  <si>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</si>
  <si>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</si>
  <si>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</si>
  <si>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</si>
  <si>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</si>
  <si>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</si>
  <si>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</si>
  <si>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</si>
  <si>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</si>
  <si>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</si>
  <si>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</si>
  <si>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</si>
  <si>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</si>
  <si>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</si>
  <si>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</si>
  <si>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</si>
  <si>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</si>
  <si>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</si>
  <si>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</si>
  <si>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</si>
  <si>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</si>
  <si>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</si>
  <si>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</si>
  <si>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</si>
  <si>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</si>
  <si>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</si>
  <si>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</si>
  <si>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</si>
  <si>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</si>
  <si>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</si>
  <si>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</si>
  <si>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</si>
  <si>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</si>
  <si>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</si>
  <si>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</si>
  <si>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</si>
  <si>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</si>
  <si>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</si>
  <si>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</si>
  <si>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</si>
  <si>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</si>
  <si>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</si>
  <si>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</si>
  <si>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</si>
  <si>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</si>
  <si>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</si>
  <si>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</si>
  <si>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</si>
  <si>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</si>
  <si>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</si>
  <si>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</si>
  <si>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</si>
  <si>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</si>
  <si>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</si>
  <si>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</si>
  <si>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</si>
  <si>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</si>
  <si>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</si>
  <si>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</si>
  <si>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</si>
  <si>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</si>
  <si>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</si>
  <si>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</si>
  <si>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</si>
  <si>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</si>
  <si>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</si>
  <si>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</si>
  <si>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</si>
  <si>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</si>
  <si>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</si>
  <si>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</si>
  <si>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</si>
  <si>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</si>
  <si>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</si>
  <si>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</si>
  <si>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</si>
  <si>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</si>
  <si>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</si>
  <si>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</si>
  <si>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</si>
  <si>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</si>
  <si>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</si>
  <si>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</si>
  <si>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</si>
  <si>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</si>
  <si>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</si>
  <si>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</si>
  <si>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</si>
  <si>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</si>
  <si>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</si>
  <si>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</si>
  <si>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</si>
  <si>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</si>
  <si>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</si>
  <si>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</si>
  <si>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</si>
  <si>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</si>
  <si>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</si>
  <si>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</si>
  <si>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</si>
  <si>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</si>
  <si>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</si>
  <si>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</si>
  <si>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</si>
  <si>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</si>
  <si>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</si>
  <si>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</si>
  <si>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</si>
  <si>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</si>
  <si>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</si>
  <si>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</si>
  <si>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</si>
  <si>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</si>
  <si>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</si>
  <si>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</si>
  <si>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</si>
  <si>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</si>
  <si>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</si>
  <si>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</si>
  <si>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</si>
  <si>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</si>
  <si>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</si>
  <si>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</si>
  <si>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</si>
  <si>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</si>
  <si>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</si>
  <si>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</si>
  <si>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</si>
  <si>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</si>
  <si>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</si>
  <si>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</si>
  <si>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</si>
  <si>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</si>
  <si>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</si>
  <si>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</si>
  <si>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</si>
  <si>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</si>
  <si>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</si>
  <si>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</si>
  <si>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</si>
  <si>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</si>
  <si>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</si>
  <si>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</si>
  <si>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</si>
  <si>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</si>
  <si>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</si>
  <si>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</si>
  <si>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</si>
  <si>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</si>
  <si>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</si>
  <si>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</si>
  <si>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</si>
  <si>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</si>
  <si>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</si>
  <si>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</si>
  <si>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</si>
  <si>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</si>
  <si>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</si>
  <si>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</si>
  <si>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</si>
  <si>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</si>
  <si>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</si>
  <si>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</si>
  <si>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</si>
  <si>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</si>
  <si>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</si>
  <si>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</si>
  <si>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</si>
  <si>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</si>
  <si>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</si>
  <si>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</si>
  <si>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</si>
  <si>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</si>
  <si>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</si>
  <si>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</si>
  <si>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</si>
  <si>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</si>
  <si>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</si>
  <si>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</si>
  <si>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</si>
  <si>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</si>
  <si>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</si>
  <si>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</si>
  <si>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</si>
  <si>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</si>
  <si>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</si>
  <si>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</si>
  <si>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</si>
  <si>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</si>
  <si>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</si>
  <si>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</si>
  <si>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</si>
  <si>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</si>
  <si>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</si>
  <si>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</si>
  <si>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</si>
  <si>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</si>
  <si>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</si>
  <si>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</si>
  <si>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</si>
  <si>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</si>
  <si>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</si>
  <si>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</si>
  <si>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</si>
  <si>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</si>
  <si>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</si>
  <si>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</si>
  <si>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</si>
  <si>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</si>
  <si>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</si>
  <si>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</si>
  <si>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</si>
  <si>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</si>
  <si>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</si>
  <si>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</si>
  <si>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</si>
  <si>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</si>
  <si>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</si>
  <si>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</si>
  <si>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</si>
  <si>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</si>
  <si>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</si>
  <si>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</si>
  <si>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</si>
  <si>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</si>
  <si>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</si>
  <si>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</si>
  <si>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</si>
  <si>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</si>
  <si>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</si>
  <si>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</si>
  <si>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</si>
  <si>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</si>
  <si>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</si>
  <si>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</si>
  <si>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</si>
  <si>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</si>
  <si>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</si>
  <si>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</si>
  <si>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</si>
  <si>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</si>
  <si>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</si>
  <si>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</si>
  <si>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</si>
  <si>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</si>
  <si>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</si>
  <si>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</si>
  <si>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</si>
  <si>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</si>
  <si>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</si>
  <si>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</si>
  <si>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</si>
  <si>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</si>
  <si>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</si>
  <si>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</si>
  <si>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</si>
  <si>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</si>
  <si>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</si>
  <si>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</si>
  <si>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</si>
  <si>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</si>
  <si>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</si>
  <si>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</si>
  <si>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</si>
  <si>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</si>
  <si>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</si>
  <si>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</si>
  <si>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</si>
  <si>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</si>
  <si>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</si>
  <si>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</si>
  <si>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</si>
  <si>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</si>
  <si>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</si>
  <si>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</si>
  <si>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</si>
  <si>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</si>
  <si>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</si>
  <si>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</si>
  <si>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</si>
  <si>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</si>
  <si>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</si>
  <si>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</si>
  <si>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</si>
  <si>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</si>
  <si>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</si>
  <si>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</si>
  <si>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</si>
  <si>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</si>
  <si>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</si>
  <si>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</si>
  <si>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</si>
  <si>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</si>
  <si>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</si>
  <si>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</si>
  <si>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</si>
  <si>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</si>
  <si>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</si>
  <si>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</si>
  <si>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</si>
  <si>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</si>
  <si>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</si>
  <si>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</si>
  <si>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</si>
  <si>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</si>
  <si>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</si>
  <si>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</si>
  <si>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</si>
  <si>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</si>
  <si>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</si>
  <si>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</si>
  <si>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</si>
  <si>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</si>
  <si>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</si>
  <si>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</si>
  <si>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</si>
  <si>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</si>
  <si>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</si>
  <si>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</si>
  <si>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</si>
  <si>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</si>
  <si>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</si>
  <si>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</si>
  <si>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</si>
  <si>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</si>
  <si>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</si>
  <si>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</si>
  <si>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</si>
  <si>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</si>
  <si>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</si>
  <si>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</si>
  <si>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</si>
  <si>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</si>
  <si>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</si>
  <si>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</si>
  <si>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</si>
  <si>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</si>
  <si>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</si>
  <si>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</si>
  <si>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</si>
  <si>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</si>
  <si>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</si>
  <si>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</si>
  <si>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</si>
  <si>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</si>
  <si>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</si>
  <si>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</si>
  <si>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</si>
  <si>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</si>
  <si>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</si>
  <si>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</si>
  <si>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</si>
  <si>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</si>
  <si>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</si>
  <si>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</si>
  <si>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</si>
  <si>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</si>
  <si>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</si>
  <si>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</si>
  <si>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</si>
  <si>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</si>
  <si>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</si>
  <si>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</si>
  <si>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</si>
  <si>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</si>
  <si>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</si>
  <si>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</si>
  <si>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</si>
  <si>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</si>
  <si>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</si>
  <si>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</si>
  <si>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</si>
  <si>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</si>
  <si>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</si>
  <si>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</si>
  <si>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</si>
  <si>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</si>
  <si>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</si>
  <si>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</si>
  <si>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</si>
  <si>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</si>
  <si>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</si>
  <si>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</si>
  <si>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</si>
  <si>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</si>
  <si>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</si>
  <si>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</si>
  <si>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</si>
  <si>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</si>
  <si>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</si>
  <si>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</si>
  <si>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</si>
  <si>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</si>
  <si>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</si>
  <si>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</si>
  <si>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</si>
  <si>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</si>
  <si>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</si>
  <si>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</si>
  <si>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</si>
  <si>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</si>
  <si>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</si>
  <si>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</si>
  <si>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</si>
  <si>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</si>
  <si>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</si>
  <si>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</si>
  <si>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</si>
  <si>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</si>
  <si>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</si>
  <si>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</si>
  <si>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</si>
  <si>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</si>
  <si>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</si>
  <si>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</si>
  <si>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</si>
  <si>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</si>
  <si>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</si>
  <si>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</si>
  <si>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</si>
  <si>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</si>
  <si>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</si>
  <si>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</si>
  <si>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</si>
  <si>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</si>
  <si>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</si>
  <si>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</si>
  <si>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</si>
  <si>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</si>
  <si>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</si>
  <si>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</si>
  <si>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</si>
  <si>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</si>
  <si>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</si>
  <si>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</si>
  <si>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</si>
  <si>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</si>
  <si>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</si>
  <si>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</si>
  <si>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</si>
  <si>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</si>
  <si>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</si>
  <si>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</si>
  <si>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</si>
  <si>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</si>
  <si>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</si>
  <si>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</si>
  <si>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</si>
  <si>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</si>
  <si>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</si>
  <si>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</si>
  <si>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</si>
  <si>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</si>
  <si>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</si>
  <si>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</si>
  <si>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</si>
  <si>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</si>
  <si>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</si>
  <si>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</si>
  <si>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</si>
  <si>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</si>
  <si>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</si>
  <si>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</si>
  <si>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</si>
  <si>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</si>
  <si>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</si>
  <si>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</si>
  <si>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</si>
  <si>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</si>
  <si>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</si>
  <si>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</si>
  <si>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</si>
  <si>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</si>
  <si>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</si>
  <si>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</si>
  <si>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</si>
  <si>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</si>
  <si>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</si>
  <si>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</si>
  <si>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</si>
  <si>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</si>
  <si>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</si>
  <si>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</si>
  <si>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</si>
  <si>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</si>
  <si>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</si>
  <si>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</si>
  <si>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</si>
  <si>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</si>
  <si>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</si>
  <si>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</si>
  <si>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</si>
  <si>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</si>
  <si>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</si>
  <si>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</si>
  <si>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</si>
  <si>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</si>
  <si>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</si>
  <si>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</si>
  <si>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</si>
  <si>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</si>
  <si>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</si>
  <si>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</si>
  <si>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</si>
  <si>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</si>
  <si>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</si>
  <si>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</si>
  <si>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</si>
  <si>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</si>
  <si>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</si>
  <si>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</si>
  <si>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</si>
  <si>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</si>
  <si>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</si>
  <si>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</si>
  <si>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</si>
  <si>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</si>
  <si>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</si>
  <si>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</si>
  <si>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</si>
  <si>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</si>
  <si>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</si>
  <si>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</si>
  <si>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</si>
  <si>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</si>
  <si>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</si>
  <si>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</si>
  <si>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</si>
  <si>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</si>
  <si>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</si>
  <si>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</si>
  <si>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</si>
  <si>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</si>
  <si>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</si>
  <si>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</si>
  <si>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</si>
  <si>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</si>
  <si>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</si>
  <si>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</si>
  <si>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</si>
  <si>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</si>
  <si>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</si>
  <si>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</si>
  <si>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</si>
  <si>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</si>
  <si>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</si>
  <si>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</si>
  <si>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</si>
  <si>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</si>
  <si>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</si>
  <si>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</si>
  <si>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</si>
  <si>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</si>
  <si>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</si>
  <si>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</si>
  <si>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</si>
  <si>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</si>
  <si>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</si>
  <si>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</si>
  <si>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</si>
  <si>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</si>
  <si>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</si>
  <si>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</si>
  <si>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</si>
  <si>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</si>
  <si>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</si>
  <si>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</si>
  <si>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</si>
  <si>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</si>
  <si>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</si>
  <si>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</si>
  <si>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</si>
  <si>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</si>
  <si>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</si>
  <si>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</si>
  <si>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</si>
  <si>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</si>
  <si>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</si>
  <si>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</si>
  <si>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</si>
  <si>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</si>
  <si>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</si>
  <si>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</si>
  <si>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</si>
  <si>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</si>
  <si>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</si>
  <si>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</si>
  <si>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</si>
  <si>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</si>
  <si>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</si>
  <si>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</si>
  <si>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</si>
  <si>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</si>
  <si>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</si>
  <si>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</si>
  <si>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</si>
  <si>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</si>
  <si>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</si>
  <si>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</si>
  <si>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</si>
  <si>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</si>
  <si>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</si>
  <si>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</si>
  <si>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</si>
  <si>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</si>
  <si>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</si>
  <si>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</si>
  <si>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</si>
  <si>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</si>
  <si>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</si>
  <si>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</si>
  <si>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</si>
  <si>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</si>
  <si>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</si>
  <si>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</si>
  <si>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</si>
  <si>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</si>
  <si>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</si>
  <si>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</si>
  <si>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</si>
  <si>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</si>
  <si>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</si>
  <si>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</si>
  <si>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</si>
  <si>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</si>
  <si>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</si>
  <si>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</si>
  <si>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</si>
  <si>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</si>
  <si>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</si>
  <si>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</si>
  <si>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</si>
  <si>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</si>
  <si>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</si>
  <si>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</si>
  <si>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</si>
  <si>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</si>
  <si>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</si>
  <si>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</si>
  <si>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</si>
  <si>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</si>
  <si>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</si>
  <si>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</si>
  <si>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</si>
  <si>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</si>
  <si>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</si>
  <si>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</si>
  <si>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</si>
  <si>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</si>
  <si>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</si>
  <si>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</si>
  <si>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</si>
  <si>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</si>
  <si>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</si>
  <si>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</si>
  <si>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</si>
  <si>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</si>
  <si>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</si>
  <si>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</si>
  <si>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</si>
  <si>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</si>
  <si>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</si>
  <si>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</si>
  <si>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</si>
  <si>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</si>
  <si>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</si>
  <si>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</si>
  <si>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</si>
  <si>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</si>
  <si>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</si>
  <si>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</si>
  <si>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</si>
  <si>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</si>
  <si>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</si>
  <si>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</si>
  <si>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</si>
  <si>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</si>
  <si>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</si>
  <si>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</si>
  <si>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</si>
  <si>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</si>
  <si>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</si>
  <si>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</si>
  <si>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</si>
  <si>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</si>
  <si>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</si>
  <si>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</si>
  <si>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</si>
  <si>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</si>
  <si>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</si>
  <si>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</si>
  <si>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</si>
  <si>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</si>
  <si>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</si>
  <si>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</si>
  <si>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</si>
  <si>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</si>
  <si>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</si>
  <si>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</si>
  <si>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</si>
  <si>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</si>
  <si>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</si>
  <si>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</si>
  <si>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</si>
  <si>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</si>
  <si>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</si>
  <si>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</si>
  <si>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</si>
  <si>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</si>
  <si>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</si>
  <si>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</si>
  <si>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</si>
  <si>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</si>
  <si>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</si>
  <si>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</si>
  <si>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</si>
  <si>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</si>
  <si>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</si>
  <si>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</si>
  <si>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</si>
  <si>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</si>
  <si>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</si>
  <si>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</si>
  <si>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</si>
  <si>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</si>
  <si>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</si>
  <si>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</si>
  <si>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</si>
  <si>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</si>
  <si>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</si>
  <si>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</si>
  <si>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</si>
  <si>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</si>
  <si>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</si>
  <si>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</si>
  <si>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</si>
  <si>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</si>
  <si>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</si>
  <si>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</si>
  <si>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</si>
  <si>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</si>
  <si>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</si>
  <si>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</si>
  <si>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</si>
  <si>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</si>
  <si>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</si>
  <si>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</si>
  <si>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</si>
  <si>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</si>
  <si>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</si>
  <si>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</si>
  <si>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</si>
  <si>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</si>
  <si>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</si>
  <si>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</si>
  <si>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</si>
  <si>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</si>
  <si>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</si>
  <si>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</si>
  <si>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</si>
  <si>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</si>
  <si>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</si>
  <si>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</si>
  <si>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</si>
  <si>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</si>
  <si>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</si>
  <si>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</si>
  <si>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</si>
  <si>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</si>
  <si>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</si>
  <si>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</si>
  <si>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</si>
  <si>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</si>
  <si>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</si>
  <si>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</si>
  <si>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</si>
  <si>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</si>
  <si>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</si>
  <si>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</si>
  <si>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</si>
  <si>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</si>
  <si>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</si>
  <si>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</si>
  <si>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</si>
  <si>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</si>
  <si>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</si>
  <si>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</si>
  <si>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</si>
  <si>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</si>
  <si>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</si>
  <si>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</si>
  <si>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</si>
  <si>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</si>
  <si>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</si>
  <si>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</si>
  <si>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</si>
  <si>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</si>
  <si>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</si>
  <si>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</si>
  <si>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</si>
  <si>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</si>
  <si>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</si>
  <si>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</si>
  <si>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</si>
  <si>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</si>
  <si>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</si>
  <si>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</si>
  <si>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</si>
  <si>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</si>
  <si>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</si>
  <si>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</si>
  <si>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</si>
  <si>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</si>
  <si>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</si>
  <si>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</si>
  <si>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</si>
  <si>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</si>
  <si>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</si>
  <si>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</si>
  <si>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</si>
  <si>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</si>
  <si>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</si>
  <si>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</si>
  <si>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</si>
  <si>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</si>
  <si>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</si>
  <si>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</si>
  <si>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</si>
  <si>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</si>
  <si>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</si>
  <si>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</si>
  <si>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</si>
  <si>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</si>
  <si>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</si>
  <si>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</si>
  <si>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</si>
  <si>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</si>
  <si>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</si>
  <si>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</si>
  <si>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</si>
  <si>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</si>
  <si>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</si>
  <si>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</si>
  <si>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</si>
  <si>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</si>
  <si>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</si>
  <si>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</si>
  <si>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</si>
  <si>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</si>
  <si>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</si>
  <si>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</si>
  <si>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</si>
  <si>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</si>
  <si>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</si>
  <si>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</si>
  <si>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</si>
  <si>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</si>
  <si>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</si>
  <si>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</si>
  <si>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</si>
  <si>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</si>
  <si>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</si>
  <si>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</si>
  <si>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</si>
  <si>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</si>
  <si>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</si>
  <si>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</si>
  <si>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</si>
  <si>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</si>
  <si>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</si>
  <si>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</si>
  <si>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</si>
  <si>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</si>
  <si>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</si>
  <si>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</si>
  <si>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</si>
  <si>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</si>
  <si>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</si>
  <si>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</si>
  <si>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</si>
  <si>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</si>
  <si>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</si>
  <si>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</si>
  <si>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</si>
  <si>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</si>
  <si>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</si>
  <si>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</si>
  <si>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</si>
  <si>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</si>
  <si>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</si>
  <si>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</si>
  <si>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</si>
  <si>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</si>
  <si>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</si>
  <si>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</si>
  <si>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</si>
  <si>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</si>
  <si>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</si>
  <si>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</si>
  <si>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</si>
  <si>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</si>
  <si>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</si>
  <si>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</si>
  <si>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</si>
  <si>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</si>
  <si>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</si>
  <si>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</si>
  <si>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</si>
  <si>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</si>
  <si>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</si>
  <si>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</si>
  <si>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</si>
  <si>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</si>
  <si>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</si>
  <si>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</si>
  <si>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</si>
  <si>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</si>
  <si>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</si>
  <si>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</si>
  <si>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</si>
  <si>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</si>
  <si>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</si>
  <si>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</si>
  <si>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</si>
  <si>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</si>
  <si>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</si>
  <si>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</si>
  <si>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</si>
  <si>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</si>
  <si>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</si>
  <si>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</si>
  <si>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</si>
  <si>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</si>
  <si>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</si>
  <si>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</si>
  <si>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</si>
  <si>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</si>
  <si>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</si>
  <si>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</si>
  <si>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</si>
  <si>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</si>
  <si>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</si>
  <si>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</si>
  <si>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</si>
  <si>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</si>
  <si>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</si>
  <si>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</si>
  <si>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</si>
  <si>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</si>
  <si>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</si>
  <si>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</si>
  <si>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</si>
  <si>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</si>
  <si>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</si>
  <si>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</si>
  <si>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</si>
  <si>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</si>
  <si>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</si>
  <si>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</si>
  <si>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</si>
  <si>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</si>
  <si>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</si>
  <si>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</si>
  <si>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</si>
  <si>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</si>
  <si>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</si>
  <si>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</si>
  <si>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</si>
  <si>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</si>
  <si>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</si>
  <si>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</si>
  <si>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</si>
  <si>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</si>
  <si>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</si>
  <si>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</si>
  <si>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</si>
  <si>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</si>
  <si>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</si>
  <si>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</si>
  <si>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</si>
  <si>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</si>
  <si>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</si>
  <si>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</si>
  <si>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</si>
  <si>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</si>
  <si>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</si>
  <si>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</si>
  <si>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</si>
  <si>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</si>
  <si>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</si>
  <si>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</si>
  <si>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</si>
  <si>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</si>
  <si>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</si>
  <si>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</si>
  <si>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</si>
  <si>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</si>
  <si>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</si>
  <si>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</si>
  <si>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</si>
  <si>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</si>
  <si>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</si>
  <si>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</si>
  <si>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</si>
  <si>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</si>
  <si>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</si>
  <si>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</si>
  <si>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</si>
  <si>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</si>
  <si>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</si>
  <si>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</si>
  <si>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</si>
  <si>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</si>
  <si>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</si>
  <si>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</si>
  <si>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</si>
  <si>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</si>
  <si>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</si>
  <si>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</si>
  <si>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</si>
  <si>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</si>
  <si>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</si>
  <si>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</si>
  <si>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</si>
  <si>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</si>
  <si>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</si>
  <si>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</si>
  <si>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</si>
  <si>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</si>
  <si>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</si>
  <si>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</si>
  <si>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</si>
  <si>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</si>
  <si>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</si>
  <si>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</si>
  <si>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</si>
  <si>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</si>
  <si>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</si>
  <si>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</si>
  <si>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</si>
  <si>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</si>
  <si>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</si>
  <si>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</si>
  <si>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</si>
  <si>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</si>
  <si>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</si>
  <si>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</si>
  <si>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</si>
  <si>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</si>
  <si>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</si>
  <si>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</si>
  <si>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</si>
  <si>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</si>
  <si>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</si>
  <si>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</si>
  <si>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</si>
  <si>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</si>
  <si>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</si>
  <si>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</si>
  <si>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</si>
  <si>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</si>
  <si>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</si>
  <si>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</si>
  <si>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</si>
  <si>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</si>
  <si>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</si>
  <si>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</si>
  <si>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</si>
  <si>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</si>
  <si>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</si>
  <si>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</si>
  <si>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</si>
  <si>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</si>
  <si>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</si>
  <si>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</si>
  <si>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</si>
  <si>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</si>
  <si>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</si>
  <si>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</si>
  <si>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</si>
  <si>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</si>
  <si>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</si>
  <si>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</si>
  <si>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</si>
  <si>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</si>
  <si>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</si>
  <si>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</si>
  <si>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</si>
  <si>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</si>
  <si>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</si>
  <si>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</si>
  <si>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</si>
  <si>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</si>
  <si>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</si>
  <si>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</si>
  <si>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</si>
  <si>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</si>
  <si>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</si>
  <si>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</si>
  <si>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</si>
  <si>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</si>
  <si>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</si>
  <si>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</si>
  <si>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</si>
  <si>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</si>
  <si>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</si>
  <si>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</si>
  <si>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</si>
  <si>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</si>
  <si>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</si>
  <si>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</si>
  <si>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</si>
  <si>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</si>
  <si>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</si>
  <si>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</si>
  <si>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</si>
  <si>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</si>
  <si>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</si>
  <si>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</si>
  <si>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</si>
  <si>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</si>
  <si>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</si>
  <si>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</si>
  <si>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</si>
  <si>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</si>
  <si>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</si>
  <si>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</si>
  <si>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</si>
  <si>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</si>
  <si>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</si>
  <si>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</si>
  <si>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</si>
  <si>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</si>
  <si>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</si>
  <si>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</si>
  <si>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</si>
  <si>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</si>
  <si>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</si>
  <si>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</si>
  <si>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</si>
  <si>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</si>
  <si>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</si>
  <si>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</si>
  <si>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</si>
  <si>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</si>
  <si>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</si>
  <si>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</si>
  <si>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</si>
  <si>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</si>
  <si>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</si>
  <si>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</si>
  <si>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</si>
  <si>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</si>
  <si>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</si>
  <si>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</si>
  <si>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</si>
  <si>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</si>
  <si>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</si>
  <si>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</si>
  <si>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</si>
  <si>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</si>
  <si>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</si>
  <si>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</si>
  <si>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</si>
  <si>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</si>
  <si>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</si>
  <si>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</si>
  <si>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</si>
  <si>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</si>
  <si>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</si>
  <si>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</si>
  <si>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</si>
  <si>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</si>
  <si>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</si>
  <si>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</si>
  <si>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</si>
  <si>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</si>
  <si>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</si>
  <si>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</si>
  <si>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</si>
  <si>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</si>
  <si>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</si>
  <si>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</si>
  <si>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</si>
  <si>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</si>
  <si>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</si>
  <si>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</si>
  <si>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</si>
  <si>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</si>
  <si>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</si>
  <si>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</si>
  <si>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</si>
  <si>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</si>
  <si>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</si>
  <si>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</si>
  <si>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</si>
  <si>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</si>
  <si>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</si>
  <si>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</si>
  <si>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</si>
  <si>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</si>
  <si>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</si>
  <si>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</si>
  <si>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</si>
  <si>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</si>
  <si>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</si>
  <si>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</si>
  <si>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</si>
  <si>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</si>
  <si>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</si>
  <si>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</si>
  <si>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</si>
  <si>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</si>
  <si>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</si>
  <si>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</si>
  <si>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</si>
  <si>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</si>
  <si>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</si>
  <si>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</si>
  <si>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</si>
  <si>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</si>
  <si>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</si>
  <si>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</si>
  <si>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</si>
  <si>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</si>
  <si>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</si>
  <si>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</si>
  <si>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</si>
  <si>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</si>
  <si>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</si>
  <si>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</si>
  <si>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</si>
  <si>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</si>
  <si>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</si>
  <si>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</si>
  <si>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</si>
  <si>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</si>
  <si>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</si>
  <si>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</si>
  <si>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</si>
  <si>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</si>
  <si>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</si>
  <si>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</si>
  <si>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</si>
  <si>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</si>
  <si>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</si>
  <si>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</si>
  <si>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</si>
  <si>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</si>
  <si>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</si>
  <si>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</si>
  <si>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</si>
  <si>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</si>
  <si>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</si>
  <si>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</si>
  <si>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</si>
  <si>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</si>
  <si>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</si>
  <si>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</si>
  <si>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</si>
  <si>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</si>
  <si>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</si>
  <si>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</si>
  <si>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</si>
  <si>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</si>
  <si>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</si>
  <si>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</si>
  <si>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</si>
  <si>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</si>
  <si>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</si>
  <si>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</si>
  <si>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</si>
  <si>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</si>
  <si>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</si>
  <si>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</si>
  <si>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</si>
  <si>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</si>
  <si>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</si>
  <si>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</si>
  <si>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</si>
  <si>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</si>
  <si>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</si>
  <si>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</si>
  <si>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</si>
  <si>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</si>
  <si>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</si>
  <si>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</si>
  <si>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</si>
  <si>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</si>
  <si>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</si>
  <si>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</si>
  <si>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</si>
  <si>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</si>
  <si>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</si>
  <si>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</si>
  <si>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</si>
  <si>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</si>
  <si>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</si>
  <si>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</si>
  <si>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</si>
  <si>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</si>
  <si>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</si>
  <si>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</si>
  <si>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</si>
  <si>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</si>
  <si>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</si>
  <si>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</si>
  <si>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</si>
  <si>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</si>
  <si>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</si>
  <si>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</si>
  <si>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</si>
  <si>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</si>
  <si>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</si>
  <si>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</si>
  <si>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</si>
  <si>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</si>
  <si>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</si>
  <si>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</si>
  <si>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</si>
  <si>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</si>
  <si>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</si>
  <si>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</si>
  <si>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</si>
  <si>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</si>
  <si>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</si>
  <si>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</si>
  <si>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</si>
  <si>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</si>
  <si>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</si>
  <si>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</si>
  <si>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</si>
  <si>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</si>
  <si>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</si>
  <si>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</si>
  <si>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</si>
  <si>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</si>
  <si>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</si>
  <si>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</si>
  <si>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</si>
  <si>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</si>
  <si>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</si>
  <si>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</si>
  <si>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</si>
  <si>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</si>
  <si>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</si>
  <si>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</si>
  <si>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</si>
  <si>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</si>
  <si>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</si>
  <si>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</si>
  <si>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</si>
  <si>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</si>
  <si>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</si>
  <si>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</si>
  <si>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</si>
  <si>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</si>
  <si>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</si>
  <si>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</si>
  <si>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</si>
  <si>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</si>
  <si>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</si>
  <si>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</si>
  <si>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</si>
  <si>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</si>
  <si>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</si>
  <si>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</si>
  <si>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</si>
  <si>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</si>
  <si>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</si>
  <si>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</si>
  <si>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</si>
  <si>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</si>
  <si>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</si>
  <si>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</si>
  <si>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</si>
  <si>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</si>
  <si>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</si>
  <si>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</si>
  <si>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</si>
  <si>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</si>
  <si>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</si>
  <si>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</si>
  <si>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</si>
  <si>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</si>
  <si>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</si>
  <si>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</si>
  <si>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</si>
  <si>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</si>
  <si>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</si>
  <si>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</si>
  <si>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</si>
  <si>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</si>
  <si>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</si>
  <si>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</si>
  <si>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</si>
  <si>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</si>
  <si>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</si>
  <si>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</si>
  <si>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</si>
  <si>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</si>
  <si>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</si>
  <si>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</si>
  <si>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</si>
  <si>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</si>
  <si>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</si>
  <si>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</si>
  <si>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</si>
  <si>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</si>
  <si>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</si>
  <si>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</si>
  <si>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</si>
  <si>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</si>
  <si>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</si>
  <si>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</si>
  <si>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</si>
  <si>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</si>
  <si>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</si>
  <si>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</si>
  <si>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</si>
  <si>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</si>
  <si>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</si>
  <si>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</si>
  <si>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</si>
  <si>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</si>
  <si>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</si>
  <si>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</si>
  <si>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</si>
  <si>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</si>
  <si>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</si>
  <si>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</si>
  <si>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</si>
  <si>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</si>
  <si>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</si>
  <si>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</si>
  <si>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</si>
  <si>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</si>
  <si>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</si>
  <si>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</si>
  <si>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</si>
  <si>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</si>
  <si>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</si>
  <si>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</si>
  <si>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</si>
  <si>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</si>
  <si>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</si>
  <si>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</si>
  <si>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</si>
  <si>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</si>
  <si>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</si>
  <si>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</si>
  <si>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</si>
  <si>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</si>
  <si>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</si>
  <si>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</si>
  <si>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</si>
  <si>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</si>
  <si>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</si>
  <si>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</si>
  <si>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</si>
  <si>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</si>
  <si>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</si>
  <si>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</si>
  <si>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</si>
  <si>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</si>
  <si>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</si>
  <si>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</si>
  <si>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</si>
  <si>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</si>
  <si>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</si>
  <si>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</si>
  <si>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</si>
  <si>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</si>
  <si>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</si>
  <si>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</si>
  <si>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</si>
  <si>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</si>
  <si>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</si>
  <si>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</si>
  <si>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</si>
  <si>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</si>
  <si>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</si>
  <si>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</si>
  <si>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</si>
  <si>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</si>
  <si>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</si>
  <si>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</si>
  <si>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</si>
  <si>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</si>
  <si>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</si>
  <si>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</si>
  <si>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</si>
  <si>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</si>
  <si>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</si>
  <si>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</si>
  <si>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</si>
  <si>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</si>
  <si>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</si>
  <si>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</si>
  <si>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</si>
  <si>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</si>
  <si>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</si>
  <si>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</si>
  <si>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</si>
  <si>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</si>
  <si>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</si>
  <si>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</si>
  <si>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</si>
  <si>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</si>
  <si>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</si>
  <si>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</si>
  <si>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</si>
  <si>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</si>
  <si>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</si>
  <si>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</si>
  <si>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</si>
  <si>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</si>
  <si>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</si>
  <si>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</si>
  <si>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</si>
  <si>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</si>
  <si>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</si>
  <si>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</si>
  <si>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</si>
  <si>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</si>
  <si>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</si>
  <si>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</si>
  <si>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</si>
  <si>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</si>
  <si>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</si>
  <si>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</si>
  <si>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</si>
  <si>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</si>
  <si>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</si>
  <si>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</si>
  <si>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</si>
  <si>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</si>
  <si>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</si>
  <si>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</si>
  <si>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</si>
  <si>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</si>
  <si>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</si>
  <si>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</si>
  <si>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</si>
  <si>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</si>
  <si>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</si>
  <si>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</si>
  <si>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</si>
  <si>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</si>
  <si>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</si>
  <si>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</si>
  <si>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</si>
  <si>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</si>
  <si>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</si>
  <si>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</si>
  <si>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</si>
  <si>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</si>
  <si>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</si>
  <si>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</si>
  <si>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</si>
  <si>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</si>
  <si>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</si>
  <si>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</si>
  <si>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</si>
  <si>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</si>
  <si>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</si>
  <si>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</si>
  <si>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</si>
  <si>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</si>
  <si>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</si>
  <si>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</si>
  <si>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</si>
  <si>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</si>
  <si>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</si>
  <si>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</si>
  <si>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</si>
  <si>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</si>
  <si>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</si>
  <si>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</si>
  <si>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</si>
  <si>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</si>
  <si>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</si>
  <si>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</si>
  <si>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</si>
  <si>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</si>
  <si>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</si>
  <si>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</si>
  <si>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</si>
  <si>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</si>
  <si>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</si>
  <si>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</si>
  <si>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</si>
  <si>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</si>
  <si>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</si>
  <si>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</si>
  <si>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</si>
  <si>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</si>
  <si>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</si>
  <si>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</si>
  <si>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</si>
  <si>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</si>
  <si>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</si>
  <si>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</si>
  <si>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</si>
  <si>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</si>
  <si>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</si>
  <si>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</si>
  <si>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</si>
  <si>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</si>
  <si>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</si>
  <si>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</si>
  <si>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</si>
  <si>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</si>
  <si>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</si>
  <si>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</si>
  <si>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</si>
  <si>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</si>
  <si>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</si>
  <si>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</si>
  <si>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</si>
  <si>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</si>
  <si>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</si>
  <si>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</si>
  <si>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</si>
  <si>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</si>
  <si>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</si>
  <si>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</si>
  <si>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</si>
  <si>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</si>
  <si>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</si>
  <si>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</si>
  <si>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</si>
  <si>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</si>
  <si>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</si>
  <si>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</si>
  <si>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</si>
  <si>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</si>
  <si>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</si>
  <si>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</si>
  <si>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</si>
  <si>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</si>
  <si>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</si>
  <si>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</si>
  <si>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</si>
  <si>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</si>
  <si>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</si>
  <si>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</si>
  <si>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</si>
  <si>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</si>
  <si>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</si>
  <si>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</si>
  <si>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</si>
  <si>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</si>
  <si>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</si>
  <si>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</si>
  <si>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</si>
  <si>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</si>
  <si>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</si>
  <si>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</si>
  <si>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</si>
  <si>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</si>
  <si>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</si>
  <si>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</si>
  <si>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</si>
  <si>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</si>
  <si>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</si>
  <si>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</si>
  <si>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</si>
  <si>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</si>
  <si>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</si>
  <si>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</si>
  <si>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</si>
  <si>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</si>
  <si>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</si>
  <si>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</si>
  <si>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</si>
  <si>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</si>
  <si>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</si>
  <si>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</si>
  <si>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</si>
  <si>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</si>
  <si>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</si>
  <si>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</si>
  <si>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</si>
  <si>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</si>
  <si>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</si>
  <si>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</si>
  <si>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</si>
  <si>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</si>
  <si>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</si>
  <si>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</si>
  <si>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</si>
  <si>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</si>
  <si>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</si>
  <si>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</si>
  <si>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</si>
  <si>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</si>
  <si>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</si>
  <si>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</si>
  <si>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</si>
  <si>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</si>
  <si>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</si>
  <si>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</si>
  <si>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</si>
  <si>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</si>
  <si>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</si>
  <si>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</si>
  <si>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</si>
  <si>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</si>
  <si>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</si>
  <si>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</si>
  <si>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</si>
  <si>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</si>
  <si>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</si>
  <si>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</si>
  <si>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</si>
  <si>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</si>
  <si>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</si>
  <si>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</si>
  <si>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</si>
  <si>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</si>
  <si>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</si>
  <si>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</si>
  <si>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</si>
  <si>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</si>
  <si>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</si>
  <si>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</si>
  <si>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</si>
  <si>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</si>
  <si>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</si>
  <si>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</si>
  <si>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</si>
  <si>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</si>
  <si>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</si>
  <si>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</si>
  <si>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</si>
  <si>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</si>
  <si>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</si>
  <si>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</si>
  <si>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</si>
  <si>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</si>
  <si>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</si>
  <si>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</si>
  <si>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</si>
  <si>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</si>
  <si>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</si>
  <si>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</si>
  <si>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</si>
  <si>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</si>
  <si>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</si>
  <si>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</si>
  <si>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</si>
  <si>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</si>
  <si>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</si>
  <si>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</si>
  <si>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</si>
  <si>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</si>
  <si>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</si>
  <si>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</si>
  <si>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</si>
  <si>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</si>
  <si>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</si>
  <si>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</si>
  <si>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</si>
  <si>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</si>
  <si>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</si>
  <si>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</si>
  <si>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</si>
  <si>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</si>
  <si>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</si>
  <si>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</si>
  <si>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</si>
  <si>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</si>
  <si>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</si>
  <si>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</si>
  <si>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</si>
  <si>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</si>
  <si>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</si>
  <si>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</si>
  <si>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</si>
  <si>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</si>
  <si>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</si>
  <si>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</si>
  <si>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</si>
  <si>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</si>
  <si>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</si>
  <si>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</si>
  <si>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</si>
  <si>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</si>
  <si>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</si>
  <si>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</si>
  <si>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</si>
  <si>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</si>
  <si>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</si>
  <si>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</si>
  <si>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</si>
  <si>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</si>
  <si>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</si>
  <si>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</si>
  <si>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</si>
  <si>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</si>
  <si>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</si>
  <si>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</si>
  <si>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</si>
  <si>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</si>
  <si>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</si>
  <si>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</si>
  <si>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</si>
  <si>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</si>
  <si>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</si>
  <si>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</si>
  <si>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</si>
  <si>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</si>
  <si>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</si>
  <si>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</si>
  <si>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</si>
  <si>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</si>
  <si>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</si>
  <si>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</si>
  <si>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</si>
  <si>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</si>
  <si>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</si>
  <si>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</si>
  <si>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</si>
  <si>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</si>
  <si>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</si>
  <si>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</si>
  <si>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</si>
  <si>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</si>
  <si>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</si>
  <si>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</si>
  <si>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</si>
  <si>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</si>
  <si>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</si>
  <si>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</si>
  <si>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</si>
  <si>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</si>
  <si>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</si>
  <si>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</si>
  <si>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</si>
  <si>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</si>
  <si>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</si>
  <si>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</si>
  <si>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</si>
  <si>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</si>
  <si>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</si>
  <si>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</si>
  <si>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</si>
  <si>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</si>
  <si>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</si>
  <si>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</si>
  <si>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</si>
  <si>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</si>
  <si>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</si>
  <si>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</si>
  <si>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</si>
  <si>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</si>
  <si>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</si>
  <si>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</si>
  <si>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</si>
  <si>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</si>
  <si>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</si>
  <si>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</si>
  <si>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</si>
  <si>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</si>
  <si>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</si>
  <si>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</si>
  <si>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</si>
  <si>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</si>
  <si>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</si>
  <si>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</si>
  <si>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</si>
  <si>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</si>
  <si>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</si>
  <si>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</si>
  <si>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</si>
  <si>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</si>
  <si>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</si>
  <si>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</si>
  <si>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</si>
  <si>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</si>
  <si>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</si>
  <si>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</si>
  <si>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</si>
  <si>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</si>
  <si>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</si>
  <si>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</si>
  <si>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</si>
  <si>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</si>
  <si>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</si>
  <si>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</si>
  <si>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</si>
  <si>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</si>
  <si>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</si>
  <si>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</si>
  <si>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</si>
  <si>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</si>
  <si>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</si>
  <si>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</si>
  <si>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</si>
  <si>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</si>
  <si>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</si>
  <si>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</si>
  <si>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</si>
  <si>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</si>
  <si>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</si>
  <si>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</si>
  <si>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</si>
  <si>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</si>
  <si>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</si>
  <si>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</si>
  <si>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</si>
  <si>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</si>
  <si>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</si>
  <si>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</si>
  <si>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</si>
  <si>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</si>
  <si>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</si>
  <si>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</si>
  <si>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</si>
  <si>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</si>
  <si>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</si>
  <si>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</si>
  <si>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</si>
  <si>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</si>
  <si>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</si>
  <si>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</si>
  <si>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</si>
  <si>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</si>
  <si>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</si>
  <si>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</si>
  <si>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</si>
  <si>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</si>
  <si>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</si>
  <si>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</si>
  <si>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</si>
  <si>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</si>
  <si>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</si>
  <si>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</si>
  <si>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</si>
  <si>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</si>
  <si>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</si>
  <si>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</si>
  <si>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</si>
  <si>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</si>
  <si>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</si>
  <si>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</si>
  <si>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</si>
  <si>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</si>
  <si>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</si>
  <si>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</si>
  <si>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</si>
  <si>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</si>
  <si>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</si>
  <si>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</si>
  <si>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</si>
  <si>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</si>
  <si>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</si>
  <si>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</si>
  <si>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</si>
  <si>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</si>
  <si>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</si>
  <si>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</si>
  <si>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</si>
  <si>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</si>
  <si>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</si>
  <si>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</si>
  <si>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</si>
  <si>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</si>
  <si>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</si>
  <si>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</si>
  <si>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</si>
  <si>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</si>
  <si>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</si>
  <si>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</si>
  <si>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</si>
  <si>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</si>
  <si>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</si>
  <si>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</si>
  <si>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</si>
  <si>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</si>
  <si>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</si>
  <si>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</si>
  <si>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</si>
  <si>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</si>
  <si>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</si>
  <si>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</si>
  <si>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</si>
  <si>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</si>
  <si>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</si>
  <si>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</si>
  <si>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</si>
  <si>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</si>
  <si>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</si>
  <si>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</si>
  <si>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</si>
  <si>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</si>
  <si>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</si>
  <si>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</si>
  <si>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</si>
  <si>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</si>
  <si>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</si>
  <si>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</si>
  <si>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</si>
  <si>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</si>
  <si>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</si>
  <si>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</si>
  <si>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</si>
  <si>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</si>
  <si>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</si>
  <si>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</si>
  <si>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</si>
  <si>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</si>
  <si>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</si>
  <si>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</si>
  <si>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</si>
  <si>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</si>
  <si>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</si>
  <si>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</si>
  <si>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</si>
  <si>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</si>
  <si>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</si>
  <si>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</si>
  <si>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</si>
  <si>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</si>
  <si>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</si>
  <si>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</si>
  <si>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</si>
  <si>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</si>
  <si>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</si>
  <si>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</si>
  <si>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</si>
  <si>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</si>
  <si>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</si>
  <si>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</si>
  <si>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</si>
  <si>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</si>
  <si>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</si>
  <si>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</si>
  <si>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</si>
  <si>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</si>
  <si>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</si>
  <si>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</si>
  <si>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</si>
  <si>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</si>
  <si>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</si>
  <si>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</si>
  <si>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</si>
  <si>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</si>
  <si>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</si>
  <si>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</si>
  <si>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</si>
  <si>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</si>
  <si>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</si>
  <si>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</si>
  <si>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</si>
  <si>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</si>
  <si>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</si>
  <si>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</si>
  <si>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</si>
  <si>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</si>
  <si>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</si>
  <si>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</si>
  <si>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</si>
  <si>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</si>
  <si>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</si>
  <si>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</si>
  <si>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</si>
  <si>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</si>
  <si>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</si>
  <si>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</si>
  <si>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</si>
  <si>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</si>
  <si>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</si>
  <si>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</si>
  <si>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</si>
  <si>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</si>
  <si>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</si>
  <si>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</si>
  <si>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</si>
  <si>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</si>
  <si>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</si>
  <si>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</si>
  <si>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</si>
  <si>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</si>
  <si>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</si>
  <si>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</si>
  <si>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</si>
  <si>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</si>
  <si>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</si>
  <si>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</si>
  <si>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</si>
  <si>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</si>
  <si>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</si>
  <si>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</si>
  <si>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</si>
  <si>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</si>
  <si>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</si>
  <si>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</si>
  <si>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</si>
  <si>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</si>
  <si>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</si>
  <si>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</si>
  <si>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</si>
  <si>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</si>
  <si>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</si>
  <si>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</si>
  <si>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</si>
  <si>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</si>
  <si>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</si>
  <si>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</si>
  <si>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</si>
  <si>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</si>
  <si>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</si>
  <si>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</si>
  <si>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</si>
  <si>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</si>
  <si>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</si>
  <si>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</si>
  <si>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</si>
  <si>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</si>
  <si>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</si>
  <si>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</si>
  <si>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</si>
  <si>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</si>
  <si>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</si>
  <si>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</si>
  <si>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</si>
  <si>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</si>
  <si>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</si>
  <si>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</si>
  <si>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</si>
  <si>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</si>
  <si>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</si>
  <si>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</si>
  <si>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</si>
  <si>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</si>
  <si>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</si>
  <si>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</si>
  <si>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</si>
  <si>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</si>
  <si>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</si>
  <si>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</si>
  <si>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</si>
  <si>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</si>
  <si>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</si>
  <si>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</si>
  <si>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</si>
  <si>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</si>
  <si>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</si>
  <si>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</si>
  <si>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</si>
  <si>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</si>
  <si>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</si>
  <si>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</si>
  <si>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</si>
  <si>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</si>
  <si>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</si>
  <si>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</si>
  <si>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</si>
  <si>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</si>
  <si>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</si>
  <si>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</si>
  <si>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</si>
  <si>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</si>
  <si>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</si>
  <si>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</si>
  <si>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</si>
  <si>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</si>
  <si>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</si>
  <si>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</si>
  <si>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</si>
  <si>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</si>
  <si>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</si>
  <si>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</si>
  <si>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</si>
  <si>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</si>
  <si>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</si>
  <si>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</si>
  <si>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</si>
  <si>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</si>
  <si>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</si>
  <si>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</si>
  <si>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</si>
  <si>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</si>
  <si>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</si>
  <si>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</si>
  <si>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</si>
  <si>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</si>
  <si>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</si>
  <si>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</si>
  <si>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</si>
  <si>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</si>
  <si>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</si>
  <si>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</si>
  <si>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</si>
  <si>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</si>
  <si>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</si>
  <si>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</si>
  <si>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</si>
  <si>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</si>
  <si>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</si>
  <si>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</si>
  <si>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</si>
  <si>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</si>
  <si>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</si>
  <si>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</si>
  <si>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</si>
  <si>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</si>
  <si>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</si>
  <si>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</si>
  <si>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</si>
  <si>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</si>
  <si>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</si>
  <si>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</si>
  <si>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</si>
  <si>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</si>
  <si>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</si>
  <si>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</si>
  <si>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</si>
  <si>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</si>
  <si>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</si>
  <si>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</si>
  <si>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</si>
  <si>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</si>
  <si>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</si>
  <si>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</si>
  <si>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</si>
  <si>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</si>
  <si>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</si>
  <si>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</si>
  <si>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</si>
  <si>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</si>
  <si>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</si>
  <si>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</si>
  <si>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</si>
  <si>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</si>
  <si>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</si>
  <si>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</si>
  <si>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</si>
  <si>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</si>
  <si>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</si>
  <si>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</si>
  <si>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</si>
  <si>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</si>
  <si>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</si>
  <si>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</si>
  <si>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</si>
  <si>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</si>
  <si>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</si>
  <si>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</si>
  <si>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</si>
  <si>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</si>
  <si>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</si>
  <si>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</si>
  <si>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</si>
  <si>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</si>
  <si>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</si>
  <si>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</si>
  <si>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</si>
  <si>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</si>
  <si>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</si>
  <si>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</si>
  <si>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</si>
  <si>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</si>
  <si>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</si>
  <si>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</si>
  <si>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</si>
  <si>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</si>
  <si>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</si>
  <si>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</si>
  <si>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</si>
  <si>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</si>
  <si>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</si>
  <si>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</si>
  <si>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</si>
  <si>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</si>
  <si>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</si>
  <si>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</si>
  <si>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</si>
  <si>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</si>
  <si>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</si>
  <si>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</si>
  <si>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</si>
  <si>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</si>
  <si>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</si>
  <si>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</si>
  <si>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</si>
  <si>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</si>
  <si>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</si>
  <si>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</si>
  <si>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</si>
  <si>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</si>
  <si>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</si>
  <si>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</si>
  <si>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</si>
  <si>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</si>
  <si>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</si>
  <si>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</si>
  <si>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</si>
  <si>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</si>
  <si>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</si>
  <si>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</si>
  <si>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</si>
  <si>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</si>
  <si>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</si>
  <si>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</si>
  <si>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</si>
  <si>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</si>
  <si>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</si>
  <si>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</si>
  <si>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</si>
  <si>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</si>
  <si>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</si>
  <si>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</si>
  <si>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</si>
  <si>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</si>
  <si>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</si>
  <si>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</si>
  <si>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</si>
  <si>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</si>
  <si>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</si>
  <si>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</si>
  <si>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</si>
  <si>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</si>
  <si>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</si>
  <si>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</si>
  <si>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</si>
  <si>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</si>
  <si>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</si>
  <si>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</si>
  <si>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</si>
  <si>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</si>
  <si>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</si>
  <si>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</si>
  <si>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</si>
  <si>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</si>
  <si>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</si>
  <si>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</si>
  <si>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</si>
  <si>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</si>
  <si>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</si>
  <si>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</si>
  <si>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</si>
  <si>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</si>
  <si>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</si>
  <si>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</si>
  <si>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</si>
  <si>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</si>
  <si>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</si>
  <si>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</si>
  <si>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</si>
  <si>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</si>
  <si>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</si>
  <si>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</si>
  <si>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</si>
  <si>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</si>
  <si>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</si>
  <si>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</si>
  <si>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</si>
  <si>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</si>
  <si>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</si>
  <si>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</si>
  <si>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</si>
  <si>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</si>
  <si>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</si>
  <si>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</si>
  <si>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</si>
  <si>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</si>
  <si>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</si>
  <si>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</si>
  <si>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</si>
  <si>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</si>
  <si>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</si>
  <si>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</si>
  <si>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</si>
  <si>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</si>
  <si>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</si>
  <si>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</si>
  <si>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</si>
  <si>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</si>
  <si>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</si>
  <si>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</si>
  <si>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</si>
  <si>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</si>
  <si>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</si>
  <si>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</si>
  <si>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</si>
  <si>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</si>
  <si>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</si>
  <si>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</si>
  <si>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</si>
  <si>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</si>
  <si>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</si>
  <si>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</si>
  <si>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</si>
  <si>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</si>
  <si>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</si>
  <si>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</si>
  <si>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</si>
  <si>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</si>
  <si>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</si>
  <si>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</si>
  <si>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</si>
  <si>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</si>
  <si>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</si>
  <si>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</si>
  <si>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</si>
  <si>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</si>
  <si>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</si>
  <si>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</si>
  <si>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</si>
  <si>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</si>
  <si>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</si>
  <si>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</si>
  <si>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</si>
  <si>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</si>
  <si>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</si>
  <si>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</si>
  <si>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</si>
  <si>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</si>
  <si>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</si>
  <si>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</si>
  <si>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</si>
  <si>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</si>
  <si>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</si>
  <si>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</si>
  <si>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</si>
  <si>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</si>
  <si>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</si>
  <si>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</si>
  <si>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</si>
  <si>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</si>
  <si>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</si>
  <si>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</si>
  <si>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</si>
  <si>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</si>
  <si>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</si>
  <si>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</si>
  <si>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</si>
  <si>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</si>
  <si>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</si>
  <si>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</si>
  <si>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</si>
  <si>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</si>
  <si>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</si>
  <si>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</si>
  <si>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</si>
  <si>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</si>
  <si>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</si>
  <si>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</si>
  <si>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</si>
  <si>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</si>
  <si>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</si>
  <si>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</si>
  <si>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</si>
  <si>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</si>
  <si>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</si>
  <si>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</si>
  <si>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</si>
  <si>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</si>
  <si>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</si>
  <si>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</si>
  <si>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</si>
  <si>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</si>
  <si>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</si>
  <si>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</si>
  <si>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</si>
  <si>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</si>
  <si>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</si>
  <si>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</si>
  <si>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</si>
  <si>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</si>
  <si>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</si>
  <si>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</si>
  <si>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</si>
  <si>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</si>
  <si>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</si>
  <si>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</si>
  <si>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</si>
  <si>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</si>
  <si>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</si>
  <si>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</si>
  <si>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</si>
  <si>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</si>
  <si>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</si>
  <si>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</si>
  <si>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</si>
  <si>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</si>
  <si>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</si>
  <si>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</si>
  <si>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</si>
  <si>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</si>
  <si>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</si>
  <si>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</si>
  <si>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</si>
  <si>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</si>
  <si>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</si>
  <si>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</si>
  <si>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</si>
  <si>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</si>
  <si>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</si>
  <si>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</si>
  <si>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</si>
  <si>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</si>
  <si>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</si>
  <si>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</si>
  <si>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</si>
  <si>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</si>
  <si>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</si>
  <si>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</si>
  <si>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</si>
  <si>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</si>
  <si>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</si>
  <si>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</si>
  <si>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</si>
  <si>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</si>
  <si>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</si>
  <si>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</si>
  <si>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</si>
  <si>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</si>
  <si>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</si>
  <si>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</si>
  <si>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</si>
  <si>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</si>
  <si>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</si>
  <si>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</si>
  <si>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</si>
  <si>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</si>
  <si>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</si>
  <si>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</si>
  <si>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</si>
  <si>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</si>
  <si>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</si>
  <si>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</si>
  <si>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</si>
  <si>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</si>
  <si>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</si>
  <si>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</si>
  <si>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</si>
  <si>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</si>
  <si>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</si>
  <si>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</si>
  <si>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</si>
  <si>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</si>
  <si>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</si>
  <si>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</si>
  <si>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</si>
  <si>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</si>
  <si>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</si>
  <si>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</si>
  <si>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</si>
  <si>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</si>
  <si>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</si>
  <si>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</si>
  <si>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</si>
  <si>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</si>
  <si>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</si>
  <si>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</si>
  <si>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</si>
  <si>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</si>
  <si>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</si>
  <si>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</si>
  <si>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</si>
  <si>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</si>
  <si>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</si>
  <si>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</si>
  <si>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</si>
  <si>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</si>
  <si>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</si>
  <si>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</si>
  <si>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</si>
  <si>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</si>
  <si>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</si>
  <si>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</si>
  <si>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</si>
  <si>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</si>
  <si>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</si>
  <si>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</si>
  <si>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</si>
  <si>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</si>
  <si>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</si>
  <si>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</si>
  <si>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</si>
  <si>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</si>
  <si>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</si>
  <si>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</si>
  <si>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</si>
  <si>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</si>
  <si>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</si>
  <si>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</si>
  <si>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</si>
  <si>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</si>
  <si>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</si>
  <si>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</si>
  <si>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</si>
  <si>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</si>
  <si>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</si>
  <si>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</si>
  <si>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</si>
  <si>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</si>
  <si>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</si>
  <si>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</si>
  <si>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</si>
  <si>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</si>
  <si>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</si>
  <si>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</si>
  <si>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</si>
  <si>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</si>
  <si>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</si>
  <si>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</si>
  <si>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</si>
  <si>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</si>
  <si>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</si>
  <si>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</si>
  <si>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</si>
  <si>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</si>
  <si>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</si>
  <si>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</si>
  <si>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</si>
  <si>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</si>
  <si>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</si>
  <si>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</si>
  <si>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</si>
  <si>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</si>
  <si>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</si>
  <si>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</si>
  <si>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</si>
  <si>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</si>
  <si>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</si>
  <si>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</si>
  <si>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</si>
  <si>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</si>
  <si>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</si>
  <si>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</si>
  <si>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</si>
  <si>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</si>
  <si>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</si>
  <si>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</si>
  <si>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</si>
  <si>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</si>
  <si>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</si>
  <si>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</si>
  <si>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</si>
  <si>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</si>
  <si>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</si>
  <si>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</si>
  <si>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</si>
  <si>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</si>
  <si>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</si>
  <si>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</si>
  <si>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</si>
  <si>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</si>
  <si>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</si>
  <si>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</si>
  <si>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</si>
  <si>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</si>
  <si>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</si>
  <si>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</si>
  <si>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</si>
  <si>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</si>
  <si>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</si>
  <si>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</si>
  <si>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</si>
  <si>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</si>
  <si>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</si>
  <si>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</si>
  <si>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</si>
  <si>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</si>
  <si>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</si>
  <si>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</si>
  <si>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</si>
  <si>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</si>
  <si>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</si>
  <si>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</si>
  <si>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</si>
  <si>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</si>
  <si>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</si>
  <si>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</si>
  <si>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</si>
  <si>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</si>
  <si>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</si>
  <si>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</si>
  <si>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</si>
  <si>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</si>
  <si>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</si>
  <si>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</si>
  <si>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</si>
  <si>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</si>
  <si>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</si>
  <si>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</si>
  <si>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</si>
  <si>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</si>
  <si>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</si>
  <si>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</si>
  <si>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</si>
  <si>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</si>
  <si>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</si>
  <si>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</si>
  <si>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</si>
  <si>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</si>
  <si>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</si>
  <si>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</si>
  <si>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</si>
  <si>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</si>
  <si>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</si>
  <si>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</si>
  <si>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</si>
  <si>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</si>
  <si>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</si>
  <si>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</si>
  <si>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</si>
  <si>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</si>
  <si>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</si>
  <si>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</si>
  <si>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</si>
  <si>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</si>
  <si>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</si>
  <si>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</si>
  <si>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</si>
  <si>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</si>
  <si>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</si>
  <si>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</si>
  <si>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</si>
  <si>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</si>
  <si>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</si>
  <si>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</si>
  <si>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</si>
  <si>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</si>
  <si>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</si>
  <si>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</si>
  <si>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</si>
  <si>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</si>
  <si>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</si>
  <si>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</si>
  <si>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</si>
  <si>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</si>
  <si>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</si>
  <si>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</si>
  <si>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</si>
  <si>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</si>
  <si>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</si>
  <si>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</si>
  <si>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</si>
  <si>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</si>
  <si>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</si>
  <si>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</si>
  <si>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</si>
  <si>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</si>
  <si>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</si>
  <si>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</si>
  <si>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</si>
  <si>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</si>
  <si>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</si>
  <si>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</si>
  <si>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</si>
  <si>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</si>
  <si>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</si>
  <si>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</si>
  <si>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</si>
  <si>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</si>
  <si>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</si>
  <si>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</si>
  <si>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</si>
  <si>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</si>
  <si>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</si>
  <si>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</si>
  <si>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</si>
  <si>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</si>
  <si>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</si>
  <si>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</si>
  <si>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</si>
  <si>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</si>
  <si>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</si>
  <si>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</si>
  <si>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</si>
  <si>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</si>
  <si>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</si>
  <si>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</si>
  <si>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</si>
  <si>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</si>
  <si>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</si>
  <si>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</si>
  <si>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</si>
  <si>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</si>
  <si>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</si>
  <si>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</si>
  <si>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</si>
  <si>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</si>
  <si>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</si>
  <si>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</si>
  <si>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</si>
  <si>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</si>
  <si>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</si>
  <si>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</si>
  <si>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</si>
  <si>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</si>
  <si>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</si>
  <si>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</si>
  <si>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</si>
  <si>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</si>
  <si>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</si>
  <si>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</si>
  <si>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</si>
  <si>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</si>
  <si>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</si>
  <si>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</si>
  <si>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</si>
  <si>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</si>
  <si>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</si>
  <si>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</si>
  <si>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</si>
  <si>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</si>
  <si>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</si>
  <si>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</si>
  <si>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</si>
  <si>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</si>
  <si>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</si>
  <si>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</si>
  <si>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</si>
  <si>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</si>
  <si>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</si>
  <si>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</si>
  <si>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</si>
  <si>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</si>
  <si>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</si>
  <si>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</si>
  <si>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</si>
  <si>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</si>
  <si>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</si>
  <si>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</si>
  <si>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</si>
  <si>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</si>
  <si>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</si>
  <si>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</si>
  <si>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</si>
  <si>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</si>
  <si>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</si>
  <si>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</si>
  <si>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</si>
  <si>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</si>
  <si>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</si>
  <si>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</si>
  <si>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</si>
  <si>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</si>
  <si>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</si>
  <si>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</si>
  <si>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</si>
  <si>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</si>
  <si>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</si>
  <si>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</si>
  <si>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</si>
  <si>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</si>
  <si>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</si>
  <si>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</si>
  <si>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</si>
  <si>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</si>
  <si>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</si>
  <si>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</si>
  <si>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</si>
  <si>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</si>
  <si>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</si>
  <si>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</si>
  <si>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</si>
  <si>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</si>
  <si>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</si>
  <si>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</si>
  <si>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</si>
  <si>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</si>
  <si>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</si>
  <si>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</si>
  <si>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</si>
  <si>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</si>
  <si>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</si>
  <si>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</si>
  <si>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</si>
  <si>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</si>
  <si>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</si>
  <si>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</si>
  <si>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</si>
  <si>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</si>
  <si>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</si>
  <si>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</si>
  <si>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</si>
  <si>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</si>
  <si>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</si>
  <si>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</si>
  <si>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</si>
  <si>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</si>
  <si>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</si>
  <si>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</si>
  <si>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</si>
  <si>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</si>
  <si>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</si>
  <si>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</si>
  <si>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</si>
  <si>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</si>
  <si>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</si>
  <si>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</si>
  <si>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</si>
  <si>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</si>
  <si>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</si>
  <si>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</si>
  <si>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</si>
  <si>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</si>
  <si>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</si>
  <si>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</si>
  <si>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</si>
  <si>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</si>
  <si>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</si>
  <si>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</si>
  <si>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</si>
  <si>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</si>
  <si>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</si>
  <si>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</si>
  <si>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</si>
  <si>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</si>
  <si>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</si>
  <si>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</si>
  <si>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</si>
  <si>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</si>
  <si>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</si>
  <si>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</si>
  <si>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</si>
  <si>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</si>
  <si>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</si>
  <si>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</si>
  <si>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</si>
  <si>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</si>
  <si>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</si>
  <si>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</si>
  <si>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</si>
  <si>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</si>
  <si>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</si>
  <si>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</si>
  <si>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</si>
  <si>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</si>
  <si>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</si>
  <si>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</si>
  <si>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</si>
  <si>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</si>
  <si>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</si>
  <si>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</si>
  <si>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</si>
  <si>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</si>
  <si>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</si>
  <si>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</si>
  <si>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</si>
  <si>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</si>
  <si>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</si>
  <si>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</si>
  <si>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</si>
  <si>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</si>
  <si>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</si>
  <si>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</si>
  <si>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</si>
  <si>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</si>
  <si>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</si>
  <si>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</si>
  <si>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</si>
  <si>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</si>
  <si>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</si>
  <si>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</si>
  <si>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</si>
  <si>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</si>
  <si>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</si>
  <si>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</si>
  <si>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</si>
  <si>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</si>
  <si>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</si>
  <si>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</si>
  <si>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</si>
  <si>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</si>
  <si>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</si>
  <si>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</si>
  <si>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</si>
  <si>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</si>
  <si>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</si>
  <si>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</si>
  <si>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</si>
  <si>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</si>
  <si>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</si>
  <si>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</si>
  <si>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</si>
  <si>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</si>
  <si>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</si>
  <si>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</si>
  <si>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</si>
  <si>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</si>
  <si>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</si>
  <si>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</si>
  <si>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</si>
  <si>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</si>
  <si>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</si>
  <si>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</si>
  <si>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</si>
  <si>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</si>
  <si>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</si>
  <si>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</si>
  <si>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</si>
  <si>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</si>
  <si>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</si>
  <si>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</si>
  <si>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</si>
  <si>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</si>
  <si>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</si>
  <si>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</si>
  <si>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</si>
  <si>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</si>
  <si>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</si>
  <si>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</si>
  <si>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</si>
  <si>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</si>
  <si>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</si>
  <si>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</si>
  <si>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</si>
  <si>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</si>
  <si>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</si>
  <si>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</si>
  <si>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</si>
  <si>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</si>
  <si>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</si>
  <si>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</si>
  <si>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</si>
  <si>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</si>
  <si>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</si>
  <si>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</si>
  <si>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</si>
  <si>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</si>
  <si>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</si>
  <si>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</si>
  <si>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</si>
  <si>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</si>
  <si>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</si>
  <si>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</si>
  <si>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</si>
  <si>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</si>
  <si>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</si>
  <si>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</si>
  <si>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</si>
  <si>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</si>
  <si>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</si>
  <si>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</si>
  <si>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</si>
  <si>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</si>
  <si>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</si>
  <si>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</si>
  <si>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</si>
  <si>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</si>
  <si>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</si>
  <si>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</si>
  <si>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</si>
  <si>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</si>
  <si>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</si>
  <si>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</si>
  <si>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</si>
  <si>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</si>
  <si>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</si>
  <si>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</si>
  <si>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</si>
  <si>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</si>
  <si>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</si>
  <si>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</si>
  <si>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</si>
  <si>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</si>
  <si>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</si>
  <si>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</si>
  <si>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</si>
  <si>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</si>
  <si>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</si>
  <si>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</si>
  <si>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</si>
  <si>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</si>
  <si>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</si>
  <si>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</si>
  <si>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</si>
  <si>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</si>
  <si>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</si>
  <si>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</si>
  <si>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</si>
  <si>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</si>
  <si>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</si>
  <si>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</si>
  <si>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</si>
  <si>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</si>
  <si>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</si>
  <si>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</si>
  <si>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</si>
  <si>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</si>
  <si>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</si>
  <si>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</si>
  <si>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</si>
  <si>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</si>
  <si>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</si>
  <si>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</si>
  <si>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</si>
  <si>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</si>
  <si>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</si>
  <si>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</si>
  <si>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</si>
  <si>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</si>
  <si>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</si>
  <si>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</si>
  <si>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</si>
  <si>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</si>
  <si>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</si>
  <si>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</si>
  <si>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</si>
  <si>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</si>
  <si>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</si>
  <si>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</si>
  <si>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</si>
  <si>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</si>
  <si>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</si>
  <si>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</si>
  <si>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</si>
  <si>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</si>
  <si>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</si>
  <si>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</si>
  <si>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</si>
  <si>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</si>
  <si>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</si>
  <si>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</si>
  <si>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</si>
  <si>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</si>
  <si>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</si>
  <si>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</si>
  <si>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</si>
  <si>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</si>
  <si>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</si>
  <si>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</si>
  <si>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</si>
  <si>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</si>
  <si>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</si>
  <si>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</si>
  <si>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</si>
  <si>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</si>
  <si>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</si>
  <si>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</si>
  <si>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</si>
  <si>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</si>
  <si>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</si>
  <si>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</si>
  <si>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</si>
  <si>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</si>
  <si>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</si>
  <si>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</si>
  <si>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</si>
  <si>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</si>
  <si>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</si>
  <si>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</si>
  <si>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</si>
  <si>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</si>
  <si>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</si>
  <si>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</si>
  <si>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</si>
  <si>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</si>
  <si>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</si>
  <si>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</si>
  <si>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</si>
  <si>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</si>
  <si>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</si>
  <si>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</si>
  <si>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</si>
  <si>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</si>
  <si>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</si>
  <si>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</si>
  <si>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</si>
  <si>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</si>
  <si>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</si>
  <si>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</si>
  <si>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</si>
  <si>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</si>
  <si>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</si>
  <si>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</si>
  <si>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</si>
  <si>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</si>
  <si>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</si>
  <si>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</si>
  <si>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</si>
  <si>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</si>
  <si>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</si>
  <si>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</si>
  <si>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</si>
  <si>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</si>
  <si>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</si>
  <si>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</si>
  <si>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</si>
  <si>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</si>
  <si>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</si>
  <si>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</si>
  <si>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</si>
  <si>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</si>
  <si>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</si>
  <si>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</si>
  <si>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</si>
  <si>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</si>
  <si>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</si>
  <si>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</si>
  <si>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</si>
  <si>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</si>
  <si>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</si>
  <si>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</si>
  <si>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</si>
  <si>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</si>
  <si>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</si>
  <si>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</si>
  <si>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</si>
  <si>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</si>
  <si>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</si>
  <si>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</si>
  <si>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</si>
  <si>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</si>
  <si>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</si>
  <si>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</si>
  <si>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</si>
  <si>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</si>
  <si>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</si>
  <si>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</si>
  <si>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</si>
  <si>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</si>
  <si>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</si>
  <si>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</si>
  <si>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</si>
  <si>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</si>
  <si>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</si>
  <si>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</si>
  <si>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</si>
  <si>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</si>
  <si>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</si>
  <si>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</si>
  <si>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</si>
  <si>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</si>
  <si>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</si>
  <si>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</si>
  <si>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</si>
  <si>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</si>
  <si>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</si>
  <si>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</si>
  <si>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</si>
  <si>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</si>
  <si>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</si>
  <si>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</si>
  <si>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</si>
  <si>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</si>
  <si>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</si>
  <si>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</si>
  <si>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</si>
  <si>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</si>
  <si>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</si>
  <si>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</si>
  <si>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</si>
  <si>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</si>
  <si>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</si>
  <si>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</si>
  <si>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</si>
  <si>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</si>
  <si>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</si>
  <si>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</si>
  <si>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</si>
  <si>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</si>
  <si>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</si>
  <si>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</si>
  <si>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</si>
  <si>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</si>
  <si>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</si>
  <si>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</si>
  <si>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</si>
  <si>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</si>
  <si>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</si>
  <si>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</si>
  <si>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</si>
  <si>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</si>
  <si>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</si>
  <si>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</si>
  <si>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</si>
  <si>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</si>
  <si>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</si>
  <si>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</si>
  <si>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</si>
  <si>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</si>
  <si>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</si>
  <si>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</si>
  <si>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</si>
  <si>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</si>
  <si>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</si>
  <si>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</si>
  <si>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</si>
  <si>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</si>
  <si>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</si>
  <si>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</si>
  <si>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</si>
  <si>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</si>
  <si>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</si>
  <si>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</si>
  <si>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</si>
  <si>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</si>
  <si>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</si>
  <si>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</si>
  <si>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</si>
  <si>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</si>
  <si>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</si>
  <si>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</si>
  <si>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</si>
  <si>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</si>
  <si>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</si>
  <si>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</si>
  <si>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</si>
  <si>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</si>
  <si>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</si>
  <si>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</si>
  <si>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</si>
  <si>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</si>
  <si>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</si>
  <si>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</si>
  <si>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</si>
  <si>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</si>
  <si>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</si>
  <si>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</si>
  <si>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</si>
  <si>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</si>
  <si>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</si>
  <si>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</si>
  <si>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</si>
  <si>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</si>
  <si>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</si>
  <si>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</si>
  <si>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</si>
  <si>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</si>
  <si>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</si>
  <si>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</si>
  <si>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</si>
  <si>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</si>
  <si>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</si>
  <si>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</si>
  <si>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</si>
  <si>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</si>
  <si>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</si>
  <si>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</si>
  <si>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</si>
  <si>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</si>
  <si>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</si>
  <si>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</si>
  <si>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</si>
  <si>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</si>
  <si>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</si>
  <si>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</si>
  <si>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</si>
  <si>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</si>
  <si>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</si>
  <si>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</si>
  <si>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</si>
  <si>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</si>
  <si>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</si>
  <si>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</si>
  <si>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</si>
  <si>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</si>
  <si>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</si>
  <si>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</si>
  <si>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</si>
  <si>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</si>
  <si>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</si>
  <si>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</si>
  <si>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</si>
  <si>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</si>
  <si>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</si>
  <si>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</si>
  <si>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</si>
  <si>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</si>
  <si>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</si>
  <si>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</si>
  <si>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</si>
  <si>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</si>
  <si>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</si>
  <si>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</si>
  <si>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</si>
  <si>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</si>
  <si>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</si>
  <si>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</si>
  <si>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</si>
  <si>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</si>
  <si>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</si>
  <si>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</si>
  <si>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</si>
  <si>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</si>
  <si>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</si>
  <si>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</si>
  <si>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</si>
  <si>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</si>
  <si>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</si>
  <si>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</si>
  <si>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</si>
  <si>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</si>
  <si>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</si>
  <si>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</si>
  <si>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</si>
  <si>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</si>
  <si>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</si>
  <si>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</si>
  <si>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</si>
  <si>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</si>
  <si>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</si>
  <si>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</si>
  <si>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</si>
  <si>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</si>
  <si>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</si>
  <si>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</si>
  <si>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</si>
  <si>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</si>
  <si>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</si>
  <si>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</si>
  <si>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</si>
  <si>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</si>
  <si>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</si>
  <si>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</si>
  <si>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</si>
  <si>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</si>
  <si>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</si>
  <si>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</si>
  <si>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</si>
  <si>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</si>
  <si>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</si>
  <si>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</si>
  <si>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</si>
  <si>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</si>
  <si>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</si>
  <si>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</si>
  <si>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</si>
  <si>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</si>
  <si>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</si>
  <si>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</si>
  <si>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</si>
  <si>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</si>
  <si>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</si>
  <si>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</si>
  <si>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</si>
  <si>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</si>
  <si>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</si>
  <si>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</si>
  <si>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</si>
  <si>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</si>
  <si>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</si>
  <si>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</si>
  <si>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</si>
  <si>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</si>
  <si>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</si>
  <si>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</si>
  <si>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</si>
  <si>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</si>
  <si>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</si>
  <si>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</si>
  <si>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</si>
  <si>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</si>
  <si>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</si>
  <si>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</si>
  <si>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</si>
  <si>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</si>
  <si>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</si>
  <si>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</si>
  <si>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</si>
  <si>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</si>
  <si>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</si>
  <si>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</si>
  <si>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</si>
  <si>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</si>
  <si>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</si>
  <si>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</si>
  <si>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</si>
  <si>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</si>
  <si>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</si>
  <si>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</si>
  <si>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</si>
  <si>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</si>
  <si>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</si>
  <si>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</si>
  <si>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</si>
  <si>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</si>
  <si>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</si>
  <si>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</si>
  <si>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</si>
  <si>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</si>
  <si>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</si>
  <si>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</si>
  <si>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</si>
  <si>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</si>
  <si>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</si>
  <si>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</si>
  <si>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</si>
  <si>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</si>
  <si>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</si>
  <si>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</si>
  <si>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</si>
  <si>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</si>
  <si>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</si>
  <si>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</si>
  <si>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</si>
  <si>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</si>
  <si>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</si>
  <si>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</si>
  <si>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</si>
  <si>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</si>
  <si>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</si>
  <si>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</si>
  <si>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</si>
  <si>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</si>
  <si>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</si>
  <si>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</si>
  <si>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</si>
  <si>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</si>
  <si>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</si>
  <si>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</si>
  <si>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</si>
  <si>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</si>
  <si>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</si>
  <si>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</si>
  <si>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</si>
  <si>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</si>
  <si>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</si>
  <si>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</si>
  <si>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</si>
  <si>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</si>
  <si>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</si>
  <si>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</si>
  <si>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</si>
  <si>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</si>
  <si>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</si>
  <si>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</si>
  <si>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</si>
  <si>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</si>
  <si>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</si>
  <si>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</si>
  <si>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</si>
  <si>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</si>
  <si>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</si>
  <si>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</si>
  <si>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</si>
  <si>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</si>
  <si>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</si>
  <si>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</si>
  <si>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</si>
  <si>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</si>
  <si>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</si>
  <si>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</si>
  <si>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</si>
  <si>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</si>
  <si>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</si>
  <si>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</si>
  <si>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</si>
  <si>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</si>
  <si>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</si>
  <si>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</si>
  <si>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</si>
  <si>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</si>
  <si>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</si>
  <si>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</si>
  <si>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</si>
  <si>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</si>
  <si>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</si>
  <si>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</si>
  <si>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</si>
  <si>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</si>
  <si>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</si>
  <si>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</si>
  <si>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</si>
  <si>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</si>
  <si>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</si>
  <si>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</si>
  <si>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</si>
  <si>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</si>
  <si>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</si>
  <si>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</si>
  <si>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</si>
  <si>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</si>
  <si>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</si>
  <si>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</si>
  <si>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</si>
  <si>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</si>
  <si>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</si>
  <si>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</si>
  <si>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</si>
  <si>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</si>
  <si>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</si>
  <si>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</si>
  <si>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</si>
  <si>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</si>
  <si>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</si>
  <si>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</si>
  <si>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</si>
  <si>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</si>
  <si>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</si>
  <si>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</si>
  <si>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</si>
  <si>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</si>
  <si>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</si>
  <si>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</si>
  <si>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</si>
  <si>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</si>
  <si>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</si>
  <si>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</si>
  <si>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</si>
  <si>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</si>
  <si>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</si>
  <si>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</si>
  <si>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</si>
  <si>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</si>
  <si>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</si>
  <si>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</si>
  <si>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</si>
  <si>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</si>
  <si>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</si>
  <si>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</si>
  <si>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</si>
  <si>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</si>
  <si>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</si>
  <si>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</si>
  <si>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</si>
  <si>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</si>
  <si>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</si>
  <si>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</si>
  <si>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</si>
  <si>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</si>
  <si>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</si>
  <si>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</si>
  <si>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</si>
  <si>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</si>
  <si>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</si>
  <si>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</si>
  <si>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</si>
  <si>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</si>
  <si>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</si>
  <si>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</si>
  <si>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</si>
  <si>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</si>
  <si>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</si>
  <si>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</si>
  <si>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</si>
  <si>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</si>
  <si>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</si>
  <si>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</si>
  <si>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</si>
  <si>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</si>
  <si>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</si>
  <si>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</si>
  <si>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</si>
  <si>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</si>
  <si>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</si>
  <si>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</si>
  <si>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</si>
  <si>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</si>
  <si>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</si>
  <si>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</si>
  <si>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</si>
  <si>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</si>
  <si>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</si>
  <si>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</si>
  <si>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</si>
  <si>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</si>
  <si>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</si>
  <si>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</si>
  <si>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</si>
  <si>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</si>
  <si>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</si>
  <si>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</si>
  <si>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</si>
  <si>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</si>
  <si>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</si>
  <si>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</si>
  <si>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</si>
  <si>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</si>
  <si>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</si>
  <si>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</si>
  <si>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</si>
  <si>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</si>
  <si>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</si>
  <si>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</si>
  <si>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</si>
  <si>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</si>
  <si>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</si>
  <si>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</si>
  <si>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</si>
  <si>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</si>
  <si>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</si>
  <si>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</si>
  <si>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</si>
  <si>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</si>
  <si>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</si>
  <si>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</si>
  <si>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</si>
  <si>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</si>
  <si>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</si>
  <si>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</si>
  <si>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</si>
  <si>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</si>
  <si>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</si>
  <si>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</si>
  <si>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</si>
  <si>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</si>
  <si>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</si>
  <si>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</si>
  <si>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</si>
  <si>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</si>
  <si>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</si>
  <si>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</si>
  <si>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</si>
  <si>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</si>
  <si>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</si>
  <si>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</si>
  <si>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</si>
  <si>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</si>
  <si>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</si>
  <si>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</si>
  <si>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</si>
  <si>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</si>
  <si>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</si>
  <si>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</si>
  <si>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</si>
  <si>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</si>
  <si>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</si>
  <si>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</si>
  <si>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</si>
  <si>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</si>
  <si>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</si>
  <si>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</si>
  <si>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</si>
  <si>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</si>
  <si>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</si>
  <si>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</si>
  <si>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</si>
  <si>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</si>
  <si>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</si>
  <si>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</si>
  <si>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</si>
  <si>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</si>
  <si>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</si>
  <si>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</si>
  <si>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</si>
  <si>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</si>
  <si>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</si>
  <si>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</si>
  <si>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</si>
  <si>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</si>
  <si>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</si>
  <si>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</si>
  <si>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</si>
  <si>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</si>
  <si>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</si>
  <si>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</si>
  <si>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</si>
  <si>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</si>
  <si>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</si>
  <si>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</si>
  <si>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</si>
  <si>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</si>
  <si>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</si>
  <si>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</si>
  <si>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</si>
  <si>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</si>
  <si>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</si>
  <si>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</si>
  <si>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</si>
  <si>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</si>
  <si>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</si>
  <si>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</si>
  <si>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</si>
  <si>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</si>
  <si>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</si>
  <si>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</si>
  <si>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</si>
  <si>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</si>
  <si>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</si>
  <si>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</si>
  <si>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</si>
  <si>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</si>
  <si>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</si>
  <si>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</si>
  <si>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</si>
  <si>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</si>
  <si>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</si>
  <si>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</si>
  <si>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</si>
  <si>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</si>
  <si>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</si>
  <si>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</si>
  <si>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</si>
  <si>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</si>
  <si>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</si>
  <si>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</si>
  <si>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</si>
  <si>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</si>
  <si>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</si>
  <si>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</si>
  <si>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</si>
  <si>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</si>
  <si>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</si>
  <si>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</si>
  <si>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</si>
  <si>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</si>
  <si>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</si>
  <si>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</si>
  <si>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</si>
  <si>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</si>
  <si>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</si>
  <si>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</si>
  <si>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</si>
  <si>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</si>
  <si>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</si>
  <si>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</si>
  <si>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</si>
  <si>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</si>
  <si>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</si>
  <si>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</si>
  <si>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</si>
  <si>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</si>
  <si>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</si>
  <si>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</si>
  <si>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</si>
  <si>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</si>
  <si>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</si>
  <si>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</si>
  <si>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</si>
  <si>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</si>
  <si>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</si>
  <si>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</si>
  <si>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</si>
  <si>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</si>
  <si>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</si>
  <si>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</si>
  <si>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</si>
  <si>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</si>
  <si>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</si>
  <si>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</si>
  <si>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</si>
  <si>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</si>
  <si>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</si>
  <si>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</si>
  <si>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</si>
  <si>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</si>
  <si>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</si>
  <si>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</si>
  <si>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</si>
  <si>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</si>
  <si>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</si>
  <si>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</si>
  <si>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</si>
  <si>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</si>
  <si>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</si>
  <si>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</si>
  <si>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</si>
  <si>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</si>
  <si>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</si>
  <si>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</si>
  <si>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</si>
  <si>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</si>
  <si>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</si>
  <si>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</si>
  <si>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</si>
  <si>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</si>
  <si>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</si>
  <si>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</si>
  <si>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</si>
  <si>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</si>
  <si>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</si>
  <si>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</si>
  <si>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</si>
  <si>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</si>
  <si>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</si>
  <si>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</si>
  <si>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</si>
  <si>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</si>
  <si>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</si>
  <si>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</si>
  <si>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</si>
  <si>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</si>
  <si>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</si>
  <si>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</si>
  <si>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</si>
  <si>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</si>
  <si>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</si>
  <si>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</si>
  <si>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</si>
  <si>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</si>
  <si>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</si>
  <si>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</si>
  <si>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</si>
  <si>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</si>
  <si>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</si>
  <si>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</si>
  <si>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</si>
  <si>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</si>
  <si>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</si>
  <si>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</si>
  <si>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</si>
  <si>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</si>
  <si>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</si>
  <si>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</si>
  <si>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</si>
  <si>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</si>
  <si>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</si>
  <si>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</si>
  <si>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</si>
  <si>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</si>
  <si>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</si>
  <si>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</si>
  <si>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</si>
  <si>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</si>
  <si>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</si>
  <si>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</si>
  <si>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</si>
  <si>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</si>
  <si>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</si>
  <si>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</si>
  <si>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</si>
  <si>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</si>
  <si>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</si>
  <si>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</si>
  <si>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</si>
  <si>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</si>
  <si>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</si>
  <si>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</si>
  <si>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</si>
  <si>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</si>
  <si>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</si>
  <si>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</si>
  <si>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</si>
  <si>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</si>
  <si>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</si>
  <si>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</si>
  <si>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</si>
  <si>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</si>
  <si>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</si>
  <si>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</si>
  <si>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</si>
  <si>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</si>
  <si>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</si>
  <si>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</si>
  <si>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</si>
  <si>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</si>
  <si>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</si>
  <si>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</si>
  <si>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</si>
  <si>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</si>
  <si>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</si>
  <si>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</si>
  <si>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</si>
  <si>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</si>
  <si>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</si>
  <si>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</si>
  <si>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</si>
  <si>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</si>
  <si>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</si>
  <si>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</si>
  <si>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</si>
  <si>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</si>
  <si>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</si>
  <si>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</si>
  <si>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</si>
  <si>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</si>
  <si>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</si>
  <si>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</si>
  <si>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</si>
  <si>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</si>
  <si>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</si>
  <si>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</si>
  <si>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</si>
  <si>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</si>
  <si>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</si>
  <si>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</si>
  <si>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</si>
  <si>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</si>
  <si>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</si>
  <si>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</si>
  <si>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</si>
  <si>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</si>
  <si>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</si>
  <si>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</si>
  <si>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</si>
  <si>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</si>
  <si>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</si>
  <si>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</si>
  <si>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</si>
  <si>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</si>
  <si>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</si>
  <si>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</si>
  <si>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</si>
  <si>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</si>
  <si>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</si>
  <si>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</si>
  <si>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</si>
  <si>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</si>
  <si>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</si>
  <si>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</si>
  <si>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</si>
  <si>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</si>
  <si>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</si>
  <si>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</si>
  <si>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</si>
  <si>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</si>
  <si>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</si>
  <si>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</si>
  <si>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</si>
  <si>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</si>
  <si>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</si>
  <si>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</si>
  <si>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</si>
  <si>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</si>
  <si>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</si>
  <si>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</si>
  <si>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</si>
  <si>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</si>
  <si>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</si>
  <si>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</si>
  <si>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</si>
  <si>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</si>
  <si>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</si>
  <si>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</si>
  <si>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</si>
  <si>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</si>
  <si>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</si>
  <si>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</si>
  <si>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</si>
  <si>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</si>
  <si>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</si>
  <si>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</si>
  <si>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</si>
  <si>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</si>
  <si>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</si>
  <si>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</si>
  <si>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</si>
  <si>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</si>
  <si>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</si>
  <si>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</si>
  <si>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</si>
  <si>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</si>
  <si>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</si>
  <si>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</si>
  <si>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</si>
  <si>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</si>
  <si>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</si>
  <si>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</si>
  <si>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</si>
  <si>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</si>
  <si>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</si>
  <si>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</si>
  <si>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</si>
  <si>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</si>
  <si>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</si>
  <si>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</si>
  <si>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</si>
  <si>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</si>
  <si>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</si>
  <si>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</si>
  <si>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</si>
  <si>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</si>
  <si>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</si>
  <si>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</si>
  <si>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</si>
  <si>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</si>
  <si>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</si>
  <si>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</si>
  <si>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</si>
  <si>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</si>
  <si>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</si>
  <si>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</si>
  <si>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</si>
  <si>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</si>
  <si>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</si>
  <si>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</si>
  <si>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</si>
  <si>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</si>
  <si>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</si>
  <si>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</si>
  <si>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</si>
  <si>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</si>
  <si>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</si>
  <si>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</si>
  <si>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</si>
  <si>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</si>
  <si>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</si>
  <si>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</si>
  <si>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</si>
  <si>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</si>
  <si>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</si>
  <si>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</si>
  <si>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</si>
  <si>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</si>
  <si>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</si>
  <si>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</si>
  <si>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</si>
  <si>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</si>
  <si>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</si>
  <si>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</si>
  <si>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</si>
  <si>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</si>
  <si>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</si>
  <si>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</si>
  <si>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</si>
  <si>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</si>
  <si>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</si>
  <si>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</si>
  <si>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</si>
  <si>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</si>
  <si>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</si>
  <si>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</si>
  <si>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</si>
  <si>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</si>
  <si>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</si>
  <si>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</si>
  <si>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</si>
  <si>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</si>
  <si>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</si>
  <si>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</si>
  <si>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</si>
  <si>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</si>
  <si>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</si>
  <si>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</si>
  <si>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</si>
  <si>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</si>
  <si>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</si>
  <si>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</si>
  <si>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</si>
  <si>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</si>
  <si>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</si>
  <si>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</si>
  <si>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</si>
  <si>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</si>
  <si>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</si>
  <si>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</si>
  <si>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</si>
  <si>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</si>
  <si>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</si>
  <si>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</si>
  <si>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</si>
  <si>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</si>
  <si>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</si>
  <si>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</si>
  <si>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</si>
  <si>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</si>
  <si>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</si>
  <si>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</si>
  <si>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</si>
  <si>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</si>
  <si>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</si>
  <si>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</si>
  <si>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</si>
  <si>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</si>
  <si>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</si>
  <si>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</si>
  <si>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</si>
  <si>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</si>
  <si>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</si>
  <si>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</si>
  <si>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</si>
  <si>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</si>
  <si>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</si>
  <si>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</si>
  <si>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</si>
  <si>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</si>
  <si>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</si>
  <si>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</si>
  <si>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</si>
  <si>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</si>
  <si>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</si>
  <si>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</si>
  <si>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</si>
  <si>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</si>
  <si>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</si>
  <si>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</si>
  <si>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</si>
  <si>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</si>
  <si>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</si>
  <si>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</si>
  <si>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</si>
  <si>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</si>
  <si>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</si>
  <si>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</si>
  <si>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</si>
  <si>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</si>
  <si>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</si>
  <si>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</si>
  <si>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</si>
  <si>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</si>
  <si>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</si>
  <si>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</si>
  <si>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</si>
  <si>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</si>
  <si>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</si>
  <si>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</si>
  <si>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</si>
  <si>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</si>
  <si>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</si>
  <si>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</si>
  <si>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</si>
  <si>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</si>
  <si>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</si>
  <si>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</si>
  <si>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</si>
  <si>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</si>
  <si>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</si>
  <si>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</si>
  <si>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</si>
  <si>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</si>
  <si>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</si>
  <si>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</si>
  <si>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</si>
  <si>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</si>
  <si>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</si>
  <si>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</si>
  <si>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</si>
  <si>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</si>
  <si>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</si>
  <si>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</si>
  <si>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</si>
  <si>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</si>
  <si>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</si>
  <si>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</si>
  <si>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</si>
  <si>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</si>
  <si>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</si>
  <si>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</si>
  <si>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</si>
  <si>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</si>
  <si>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</si>
  <si>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</si>
  <si>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</si>
  <si>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</si>
  <si>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</si>
  <si>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</si>
  <si>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</si>
  <si>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</si>
  <si>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</si>
  <si>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</si>
  <si>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</si>
  <si>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</si>
  <si>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</si>
  <si>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</si>
  <si>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</si>
  <si>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</si>
  <si>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</si>
  <si>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</si>
  <si>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</si>
  <si>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</si>
  <si>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</si>
  <si>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</si>
  <si>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</si>
  <si>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</si>
  <si>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</si>
  <si>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</si>
  <si>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</si>
  <si>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</si>
  <si>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</si>
  <si>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</si>
  <si>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</si>
  <si>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</si>
  <si>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</si>
  <si>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</si>
  <si>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</si>
  <si>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</si>
  <si>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</si>
  <si>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</si>
  <si>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</si>
  <si>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</si>
  <si>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</si>
  <si>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</si>
  <si>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</si>
  <si>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</si>
  <si>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</si>
  <si>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</si>
  <si>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</si>
  <si>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</si>
  <si>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</si>
  <si>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</si>
  <si>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</si>
  <si>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</si>
  <si>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</si>
  <si>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</si>
  <si>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</si>
  <si>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</si>
  <si>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</si>
  <si>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</si>
  <si>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</si>
  <si>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</si>
  <si>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</si>
  <si>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</si>
  <si>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</si>
  <si>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</si>
  <si>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</si>
  <si>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</si>
  <si>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</si>
  <si>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</si>
  <si>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</si>
  <si>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</si>
  <si>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</si>
  <si>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</si>
  <si>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</si>
  <si>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</si>
  <si>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</si>
  <si>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</si>
  <si>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</si>
  <si>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</si>
  <si>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</si>
  <si>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</si>
  <si>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</si>
  <si>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</si>
  <si>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</si>
  <si>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</si>
  <si>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</si>
  <si>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</si>
  <si>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</si>
  <si>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</si>
  <si>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</si>
  <si>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</si>
  <si>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</si>
  <si>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</si>
  <si>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</si>
  <si>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</si>
  <si>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</si>
  <si>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</si>
  <si>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</si>
  <si>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</si>
  <si>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</si>
  <si>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</si>
  <si>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</si>
  <si>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</si>
  <si>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</si>
  <si>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</si>
  <si>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</si>
  <si>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</si>
  <si>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</si>
  <si>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</si>
  <si>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</si>
  <si>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</si>
  <si>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</si>
  <si>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</si>
  <si>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</si>
  <si>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</si>
  <si>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</si>
  <si>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</si>
  <si>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</si>
  <si>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</si>
  <si>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</si>
  <si>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</si>
  <si>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</si>
  <si>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</si>
  <si>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</si>
  <si>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</si>
  <si>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</si>
  <si>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</si>
  <si>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</si>
  <si>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</si>
  <si>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</si>
  <si>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</si>
  <si>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</si>
  <si>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</si>
  <si>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</si>
  <si>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</si>
  <si>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</si>
  <si>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</si>
  <si>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</si>
  <si>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</si>
  <si>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</si>
  <si>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</si>
  <si>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</si>
  <si>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</si>
  <si>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</si>
  <si>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</si>
  <si>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</si>
  <si>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</si>
  <si>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</si>
  <si>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</si>
  <si>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</si>
  <si>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</si>
  <si>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</si>
  <si>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</si>
  <si>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</si>
  <si>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</si>
  <si>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</si>
  <si>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</si>
  <si>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</si>
  <si>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</si>
  <si>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</si>
  <si>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</si>
  <si>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</si>
  <si>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</si>
  <si>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</si>
  <si>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</si>
  <si>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</si>
  <si>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</si>
  <si>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</si>
  <si>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</si>
  <si>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</si>
  <si>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</si>
  <si>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</si>
  <si>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</si>
  <si>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</si>
  <si>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</si>
  <si>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</si>
  <si>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</si>
  <si>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</si>
  <si>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</si>
  <si>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</si>
  <si>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</si>
  <si>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</si>
  <si>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</si>
  <si>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</si>
  <si>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</si>
  <si>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</si>
  <si>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</si>
  <si>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</si>
  <si>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</si>
  <si>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</si>
  <si>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</si>
  <si>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</si>
  <si>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</si>
  <si>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</si>
  <si>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</si>
  <si>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</si>
  <si>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</si>
  <si>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</si>
  <si>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</si>
  <si>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</si>
  <si>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</si>
  <si>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</si>
  <si>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</si>
  <si>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</si>
  <si>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</si>
  <si>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</si>
  <si>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</si>
  <si>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</si>
  <si>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</si>
  <si>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</si>
  <si>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</si>
  <si>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</si>
  <si>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</si>
  <si>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</si>
  <si>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</si>
  <si>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</si>
  <si>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</si>
  <si>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</si>
  <si>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</si>
  <si>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</si>
  <si>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</si>
  <si>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</si>
  <si>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</si>
  <si>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</si>
  <si>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</si>
  <si>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</si>
  <si>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</si>
  <si>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</si>
  <si>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</si>
  <si>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</si>
  <si>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</si>
  <si>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</si>
  <si>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</si>
  <si>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</si>
  <si>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</si>
  <si>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</si>
  <si>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</si>
  <si>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</si>
  <si>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</si>
  <si>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</si>
  <si>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</si>
  <si>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</si>
  <si>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</si>
  <si>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</si>
  <si>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</si>
  <si>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</si>
  <si>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</si>
  <si>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</si>
  <si>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</si>
  <si>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</si>
  <si>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</si>
  <si>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</si>
  <si>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</si>
  <si>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</si>
  <si>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</si>
  <si>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</si>
  <si>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</si>
  <si>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</si>
  <si>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</si>
  <si>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</si>
  <si>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</si>
  <si>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</si>
  <si>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</si>
  <si>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</si>
  <si>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</si>
  <si>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</si>
  <si>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</si>
  <si>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</si>
  <si>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</si>
  <si>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</si>
  <si>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</si>
  <si>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</si>
  <si>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</si>
  <si>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</si>
  <si>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</si>
  <si>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</si>
  <si>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</si>
  <si>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</si>
  <si>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</si>
  <si>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</si>
  <si>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</si>
  <si>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</si>
  <si>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</si>
  <si>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</si>
  <si>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</si>
  <si>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</si>
  <si>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</si>
  <si>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</si>
  <si>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</si>
  <si>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</si>
  <si>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</si>
  <si>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</si>
  <si>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</si>
  <si>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</si>
  <si>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</si>
  <si>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</si>
  <si>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</si>
  <si>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</si>
  <si>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</si>
  <si>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</si>
  <si>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</si>
  <si>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</si>
  <si>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</si>
  <si>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</si>
  <si>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</si>
  <si>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</si>
  <si>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</si>
  <si>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</si>
  <si>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</si>
  <si>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</si>
  <si>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</si>
  <si>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</si>
  <si>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</si>
  <si>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</si>
  <si>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</si>
  <si>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</si>
  <si>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</si>
  <si>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</si>
  <si>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</si>
  <si>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</si>
  <si>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</si>
  <si>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</si>
  <si>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</si>
  <si>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</si>
  <si>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</si>
  <si>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</si>
  <si>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</si>
  <si>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</si>
  <si>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</si>
  <si>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</si>
  <si>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</si>
  <si>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</si>
  <si>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</si>
  <si>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</si>
  <si>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</si>
  <si>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</si>
  <si>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</si>
  <si>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</si>
  <si>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</si>
  <si>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</si>
  <si>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</si>
  <si>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</si>
  <si>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</si>
  <si>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</si>
  <si>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</si>
  <si>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</si>
  <si>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</si>
  <si>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</si>
  <si>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</si>
  <si>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</si>
  <si>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</si>
  <si>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</si>
  <si>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</si>
  <si>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</si>
  <si>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</si>
  <si>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</si>
  <si>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</si>
  <si>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</si>
  <si>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</si>
  <si>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</si>
  <si>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</si>
  <si>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</si>
  <si>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</si>
  <si>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</si>
  <si>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</si>
  <si>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</si>
  <si>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</si>
  <si>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</si>
  <si>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</si>
  <si>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</si>
  <si>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</si>
  <si>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</si>
  <si>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</si>
  <si>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</si>
  <si>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</si>
  <si>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</si>
  <si>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</si>
  <si>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</si>
  <si>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</si>
  <si>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</si>
  <si>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</si>
  <si>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</si>
  <si>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</si>
  <si>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</si>
  <si>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</si>
  <si>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</si>
  <si>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</si>
  <si>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</si>
  <si>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</si>
  <si>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</si>
  <si>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</si>
  <si>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</si>
  <si>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</si>
  <si>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</si>
  <si>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</si>
  <si>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</si>
  <si>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</si>
  <si>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</si>
  <si>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</si>
  <si>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</si>
  <si>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</si>
  <si>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</si>
  <si>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</si>
  <si>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</si>
  <si>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</si>
  <si>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</si>
  <si>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</si>
  <si>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</si>
  <si>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</si>
  <si>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</si>
  <si>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</si>
  <si>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</si>
  <si>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</si>
  <si>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</si>
  <si>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</si>
  <si>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</si>
  <si>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</si>
  <si>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</si>
  <si>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</si>
  <si>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</si>
  <si>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</si>
  <si>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</si>
  <si>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</si>
  <si>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</si>
  <si>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</si>
  <si>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</si>
  <si>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</si>
  <si>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</si>
  <si>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</si>
  <si>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</si>
  <si>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</si>
  <si>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</si>
  <si>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</si>
  <si>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</si>
  <si>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</si>
  <si>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</si>
  <si>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</si>
  <si>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</si>
  <si>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</si>
  <si>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</si>
  <si>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</si>
  <si>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</si>
  <si>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</si>
  <si>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</si>
  <si>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</si>
  <si>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</si>
  <si>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</si>
  <si>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</si>
  <si>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</si>
  <si>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</si>
  <si>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</si>
  <si>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</si>
  <si>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</si>
  <si>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</si>
  <si>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</si>
  <si>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</si>
  <si>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</si>
  <si>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</si>
  <si>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</si>
  <si>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</si>
  <si>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</si>
  <si>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</si>
  <si>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</si>
  <si>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</si>
  <si>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</si>
  <si>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</si>
  <si>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</si>
  <si>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</si>
  <si>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</si>
  <si>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</si>
  <si>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</si>
  <si>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</si>
  <si>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</si>
  <si>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</si>
  <si>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</si>
  <si>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</si>
  <si>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</si>
  <si>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</si>
  <si>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</si>
  <si>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</si>
  <si>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</si>
  <si>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</si>
  <si>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</si>
  <si>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</si>
  <si>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</si>
  <si>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</si>
  <si>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</si>
  <si>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</si>
  <si>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</si>
  <si>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</si>
  <si>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</si>
  <si>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</si>
  <si>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</si>
  <si>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</si>
  <si>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</si>
  <si>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</si>
  <si>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</si>
  <si>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</si>
  <si>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</si>
  <si>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</si>
  <si>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</si>
  <si>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</si>
  <si>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</si>
  <si>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</si>
  <si>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</si>
  <si>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</si>
  <si>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</si>
  <si>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</si>
  <si>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</si>
  <si>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</si>
  <si>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</si>
  <si>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</si>
  <si>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</si>
  <si>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</si>
  <si>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</si>
  <si>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</si>
  <si>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</si>
  <si>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</si>
  <si>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</si>
  <si>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</si>
  <si>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</si>
  <si>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</si>
  <si>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</si>
  <si>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</si>
  <si>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</si>
  <si>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</si>
  <si>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</si>
  <si>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</si>
  <si>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</si>
  <si>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</si>
  <si>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</si>
  <si>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</si>
  <si>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</si>
  <si>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</si>
  <si>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</si>
  <si>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</si>
  <si>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</si>
  <si>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</si>
  <si>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</si>
  <si>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</si>
  <si>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</si>
  <si>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</si>
  <si>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</si>
  <si>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</si>
  <si>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</si>
  <si>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</si>
  <si>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</si>
  <si>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</si>
  <si>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</si>
  <si>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</si>
  <si>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</si>
  <si>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</si>
  <si>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</si>
  <si>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</si>
  <si>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</si>
  <si>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</si>
  <si>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</si>
  <si>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</si>
  <si>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</si>
  <si>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</si>
  <si>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</si>
  <si>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</si>
  <si>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</si>
  <si>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</si>
  <si>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</si>
  <si>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</si>
  <si>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</si>
  <si>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</si>
  <si>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</si>
  <si>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</si>
  <si>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</si>
  <si>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</si>
  <si>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</si>
  <si>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</si>
  <si>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</si>
  <si>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</si>
  <si>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</si>
  <si>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</si>
  <si>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</si>
  <si>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</si>
  <si>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</si>
  <si>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</si>
  <si>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</si>
  <si>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</si>
  <si>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</si>
  <si>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</si>
  <si>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</si>
  <si>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</si>
  <si>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</si>
  <si>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</si>
  <si>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</si>
  <si>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</si>
  <si>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</si>
  <si>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</si>
  <si>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</si>
  <si>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</si>
  <si>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</si>
  <si>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</si>
  <si>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</si>
  <si>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</si>
  <si>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</si>
  <si>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</si>
  <si>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</si>
  <si>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</si>
  <si>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</si>
  <si>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</si>
  <si>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</si>
  <si>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</si>
  <si>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</si>
  <si>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</si>
  <si>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</si>
  <si>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</si>
  <si>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</si>
  <si>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</si>
  <si>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</si>
  <si>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</si>
  <si>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</si>
  <si>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</si>
  <si>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</si>
  <si>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</si>
  <si>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</si>
  <si>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</si>
  <si>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</si>
  <si>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</si>
  <si>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</si>
  <si>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</si>
  <si>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</si>
  <si>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</si>
  <si>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</si>
  <si>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</si>
  <si>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</si>
  <si>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</si>
  <si>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</si>
  <si>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</si>
  <si>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</si>
  <si>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</si>
  <si>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</si>
  <si>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</si>
  <si>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</si>
  <si>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</si>
  <si>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</si>
  <si>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</si>
  <si>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</si>
  <si>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</si>
  <si>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</si>
  <si>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</si>
  <si>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</si>
  <si>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</si>
  <si>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</si>
  <si>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</si>
  <si>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</si>
  <si>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</si>
  <si>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</si>
  <si>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</si>
  <si>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</si>
  <si>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</si>
  <si>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</si>
  <si>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</si>
  <si>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</si>
  <si>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</si>
  <si>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</si>
  <si>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</si>
  <si>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</si>
  <si>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</si>
  <si>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</si>
  <si>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</si>
  <si>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</si>
  <si>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</si>
  <si>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</si>
  <si>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</si>
  <si>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</si>
  <si>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</si>
  <si>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</si>
  <si>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</si>
  <si>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</si>
  <si>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</si>
  <si>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</si>
  <si>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</si>
  <si>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</si>
  <si>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</si>
  <si>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</si>
  <si>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</si>
  <si>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</si>
  <si>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</si>
  <si>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</si>
  <si>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</si>
  <si>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</si>
  <si>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</si>
  <si>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</si>
  <si>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</si>
  <si>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</si>
  <si>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</si>
  <si>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</si>
  <si>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</si>
  <si>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</si>
  <si>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</si>
  <si>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</si>
  <si>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</si>
  <si>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</si>
  <si>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</si>
  <si>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</si>
  <si>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</si>
  <si>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</si>
  <si>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</si>
  <si>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</si>
  <si>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</si>
  <si>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</si>
  <si>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</si>
  <si>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</si>
  <si>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</si>
  <si>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</si>
  <si>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</si>
  <si>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</si>
  <si>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</si>
  <si>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</si>
  <si>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</si>
  <si>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</si>
  <si>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</si>
  <si>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</si>
  <si>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</si>
  <si>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</si>
  <si>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</si>
  <si>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</si>
  <si>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</si>
  <si>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</si>
  <si>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</si>
  <si>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</si>
  <si>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</si>
  <si>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</si>
  <si>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</si>
  <si>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</si>
  <si>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</si>
  <si>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</si>
  <si>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</si>
  <si>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</si>
  <si>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</si>
  <si>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</si>
  <si>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</si>
  <si>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</si>
  <si>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</si>
  <si>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</si>
  <si>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</si>
  <si>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</si>
  <si>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</si>
  <si>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</si>
  <si>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</si>
  <si>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</si>
  <si>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</si>
  <si>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</si>
  <si>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</si>
  <si>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</si>
  <si>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</si>
  <si>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</si>
  <si>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</si>
  <si>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</si>
  <si>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</si>
  <si>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</si>
  <si>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</si>
  <si>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</si>
  <si>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</si>
  <si>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</si>
  <si>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</si>
  <si>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</si>
  <si>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</si>
  <si>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</si>
  <si>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</si>
  <si>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</si>
  <si>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</si>
  <si>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</si>
  <si>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</si>
  <si>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</si>
  <si>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</si>
  <si>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</si>
  <si>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</si>
  <si>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</si>
  <si>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</si>
  <si>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</si>
  <si>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</si>
  <si>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</si>
  <si>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</si>
  <si>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</si>
  <si>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</si>
  <si>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</si>
  <si>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</si>
  <si>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</si>
  <si>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</si>
  <si>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</si>
  <si>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</si>
  <si>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</si>
  <si>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</si>
  <si>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</si>
  <si>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</si>
  <si>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</si>
  <si>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</si>
  <si>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</si>
  <si>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</si>
  <si>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</si>
  <si>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</si>
  <si>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</si>
  <si>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</si>
  <si>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</si>
  <si>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</si>
  <si>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</si>
  <si>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</si>
  <si>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</si>
  <si>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</si>
  <si>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</si>
  <si>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</si>
  <si>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</si>
  <si>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</si>
  <si>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</si>
  <si>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</si>
  <si>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</si>
  <si>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</si>
  <si>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</si>
  <si>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</si>
  <si>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</si>
  <si>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</si>
  <si>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</si>
  <si>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</si>
  <si>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</si>
  <si>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</si>
  <si>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</si>
  <si>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</si>
  <si>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</si>
  <si>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</si>
  <si>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</si>
  <si>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</si>
  <si>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</si>
  <si>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</si>
  <si>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</si>
  <si>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</si>
  <si>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</si>
  <si>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</si>
  <si>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</si>
  <si>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</si>
  <si>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</si>
  <si>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</si>
  <si>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</si>
  <si>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</si>
  <si>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</si>
  <si>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</si>
  <si>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</si>
  <si>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</si>
  <si>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</si>
  <si>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</si>
  <si>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</si>
  <si>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</si>
  <si>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</si>
  <si>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</si>
  <si>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</si>
  <si>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</si>
  <si>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</si>
  <si>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</si>
  <si>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</si>
  <si>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</si>
  <si>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</si>
  <si>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</si>
  <si>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</si>
  <si>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</si>
  <si>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</si>
  <si>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</si>
  <si>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</si>
  <si>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</si>
  <si>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</si>
  <si>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</si>
  <si>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</si>
  <si>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</si>
  <si>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</si>
  <si>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</si>
  <si>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</si>
  <si>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</si>
  <si>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</si>
  <si>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</si>
  <si>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</si>
  <si>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</si>
  <si>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</si>
  <si>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</si>
  <si>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</si>
  <si>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</si>
  <si>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</si>
  <si>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</si>
  <si>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</si>
  <si>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</si>
  <si>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</si>
  <si>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</si>
  <si>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</si>
  <si>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</si>
  <si>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</si>
  <si>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</si>
  <si>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</si>
  <si>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</si>
  <si>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</si>
  <si>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</si>
  <si>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</si>
  <si>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</si>
  <si>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</si>
  <si>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</si>
  <si>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</si>
  <si>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</si>
  <si>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</si>
  <si>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</si>
  <si>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</si>
  <si>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</si>
  <si>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</si>
  <si>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</si>
  <si>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</si>
  <si>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</si>
  <si>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</si>
  <si>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</si>
  <si>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</si>
  <si>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</si>
  <si>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</si>
  <si>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</si>
  <si>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</si>
  <si>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</si>
  <si>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</si>
  <si>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</si>
  <si>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</si>
  <si>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</si>
  <si>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</si>
  <si>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</si>
  <si>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</si>
  <si>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</si>
  <si>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</si>
  <si>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</si>
  <si>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</si>
  <si>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</si>
  <si>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</si>
  <si>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</si>
  <si>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</si>
  <si>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</si>
  <si>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</si>
  <si>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</si>
  <si>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</si>
  <si>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</si>
  <si>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</si>
  <si>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</si>
  <si>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</si>
  <si>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</si>
  <si>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</si>
  <si>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</si>
  <si>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</si>
  <si>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</si>
  <si>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</si>
  <si>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</si>
  <si>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</si>
  <si>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</si>
  <si>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</si>
  <si>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</si>
  <si>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</si>
  <si>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</si>
  <si>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</si>
  <si>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</si>
  <si>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</si>
  <si>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</si>
  <si>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</si>
  <si>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</si>
  <si>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</si>
  <si>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</si>
  <si>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</si>
  <si>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</si>
  <si>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</si>
  <si>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</si>
  <si>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</si>
  <si>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</si>
  <si>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</si>
  <si>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</si>
  <si>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</si>
  <si>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</si>
  <si>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</si>
  <si>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</si>
  <si>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</si>
  <si>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</si>
  <si>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</si>
  <si>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</si>
  <si>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</si>
  <si>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</si>
  <si>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</si>
  <si>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</si>
  <si>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</si>
  <si>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</si>
  <si>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</si>
  <si>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</si>
  <si>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</si>
  <si>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</si>
  <si>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</si>
  <si>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</si>
  <si>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</si>
  <si>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</si>
  <si>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</si>
  <si>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</si>
  <si>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</si>
  <si>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</si>
  <si>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</si>
  <si>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</si>
  <si>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</si>
  <si>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</si>
  <si>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</si>
  <si>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</si>
  <si>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</si>
  <si>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</si>
  <si>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</si>
  <si>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</si>
  <si>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</si>
  <si>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</si>
  <si>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</si>
  <si>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</si>
  <si>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</si>
  <si>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</si>
  <si>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</si>
  <si>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</si>
  <si>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</si>
  <si>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</si>
  <si>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</si>
  <si>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</si>
  <si>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</si>
  <si>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</si>
  <si>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</si>
  <si>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</si>
  <si>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</si>
  <si>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</si>
  <si>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</si>
  <si>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</si>
  <si>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</si>
  <si>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</si>
  <si>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</si>
  <si>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</si>
  <si>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</si>
  <si>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</si>
  <si>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</si>
  <si>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</si>
  <si>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</si>
  <si>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</si>
  <si>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</si>
  <si>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</si>
  <si>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</si>
  <si>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</si>
  <si>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</si>
  <si>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</si>
  <si>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</si>
  <si>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</si>
  <si>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</si>
  <si>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</si>
  <si>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</si>
  <si>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</si>
  <si>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</si>
  <si>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</si>
  <si>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</si>
  <si>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</si>
  <si>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</si>
  <si>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</si>
  <si>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</si>
  <si>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</si>
  <si>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</si>
  <si>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</si>
  <si>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</si>
  <si>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</si>
  <si>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</si>
  <si>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</si>
  <si>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</si>
  <si>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</si>
  <si>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</si>
  <si>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</si>
  <si>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</si>
  <si>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</si>
  <si>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</si>
  <si>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</si>
  <si>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</si>
  <si>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</si>
  <si>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</si>
  <si>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</si>
  <si>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</si>
  <si>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</si>
  <si>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</si>
  <si>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</si>
  <si>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</si>
  <si>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</si>
  <si>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</si>
  <si>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</si>
  <si>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</si>
  <si>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</si>
  <si>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</si>
  <si>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</si>
  <si>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</si>
  <si>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</si>
  <si>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</si>
  <si>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</si>
  <si>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</si>
  <si>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</si>
  <si>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</si>
  <si>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</si>
  <si>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</si>
  <si>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</si>
  <si>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</si>
  <si>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</si>
  <si>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</si>
  <si>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</si>
  <si>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</si>
  <si>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</si>
  <si>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</si>
  <si>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</si>
  <si>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</si>
  <si>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</si>
  <si>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</si>
  <si>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</si>
  <si>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</si>
  <si>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</si>
  <si>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</si>
  <si>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</si>
  <si>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</si>
  <si>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</si>
  <si>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</si>
  <si>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</si>
  <si>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</si>
  <si>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</si>
  <si>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</si>
  <si>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</si>
  <si>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</si>
  <si>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</si>
  <si>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</si>
  <si>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</si>
  <si>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</si>
  <si>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</si>
  <si>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</si>
  <si>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</si>
  <si>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</si>
  <si>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</si>
  <si>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</si>
  <si>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</si>
  <si>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</si>
  <si>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</si>
  <si>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</si>
  <si>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</si>
  <si>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</si>
  <si>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</si>
  <si>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</si>
  <si>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</si>
  <si>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</si>
  <si>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</si>
  <si>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</si>
  <si>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</si>
  <si>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</si>
  <si>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</si>
  <si>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</si>
  <si>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</si>
  <si>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</si>
  <si>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</si>
  <si>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</si>
  <si>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</si>
  <si>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</si>
  <si>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</si>
  <si>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</si>
  <si>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</si>
  <si>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</si>
  <si>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</si>
  <si>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</si>
  <si>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</si>
  <si>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</si>
  <si>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</si>
  <si>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</si>
  <si>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</si>
  <si>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</si>
  <si>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</si>
  <si>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</si>
  <si>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</si>
  <si>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</si>
  <si>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</si>
  <si>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</si>
  <si>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</si>
  <si>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</si>
  <si>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</si>
  <si>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</si>
  <si>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</si>
  <si>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</si>
  <si>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</si>
  <si>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</si>
  <si>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</si>
  <si>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</si>
  <si>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</si>
  <si>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</si>
  <si>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</si>
  <si>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</si>
  <si>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</si>
  <si>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</si>
  <si>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</si>
  <si>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</si>
  <si>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</si>
  <si>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</si>
  <si>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</si>
  <si>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</si>
  <si>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</si>
  <si>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</si>
  <si>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</si>
  <si>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</si>
  <si>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</si>
  <si>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</si>
  <si>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</si>
  <si>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</si>
  <si>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</si>
  <si>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</si>
  <si>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</si>
  <si>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</si>
  <si>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</si>
  <si>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</si>
  <si>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</si>
  <si>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</si>
  <si>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</si>
  <si>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</si>
  <si>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</si>
  <si>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</si>
  <si>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</si>
  <si>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</si>
  <si>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</si>
  <si>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</si>
  <si>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</si>
  <si>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</si>
  <si>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</si>
  <si>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</si>
  <si>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</si>
  <si>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</si>
  <si>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</si>
  <si>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</si>
  <si>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</si>
  <si>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</si>
  <si>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</si>
  <si>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</si>
  <si>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</si>
  <si>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</si>
  <si>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</si>
  <si>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</si>
  <si>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</si>
  <si>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</si>
  <si>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</si>
  <si>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</si>
  <si>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</si>
  <si>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</si>
  <si>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</si>
  <si>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</si>
  <si>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</si>
  <si>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</si>
  <si>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</si>
  <si>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</si>
  <si>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</si>
  <si>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</si>
  <si>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</si>
  <si>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</si>
  <si>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</si>
  <si>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</si>
  <si>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</si>
  <si>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</si>
  <si>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</si>
  <si>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</si>
  <si>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</si>
  <si>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</si>
  <si>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</si>
  <si>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</si>
  <si>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</si>
  <si>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</si>
  <si>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</si>
  <si>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</si>
  <si>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</si>
  <si>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</si>
  <si>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</si>
  <si>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</si>
  <si>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</si>
  <si>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</si>
  <si>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</si>
  <si>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</si>
  <si>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</si>
  <si>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</si>
  <si>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</si>
  <si>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</si>
  <si>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</si>
  <si>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</si>
  <si>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</si>
  <si>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</si>
  <si>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</si>
  <si>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</si>
  <si>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</si>
  <si>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</si>
  <si>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</si>
  <si>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</si>
  <si>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</si>
  <si>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</si>
  <si>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</si>
  <si>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</si>
  <si>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</si>
  <si>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</si>
  <si>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</si>
  <si>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</si>
  <si>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</si>
  <si>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</si>
  <si>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</si>
  <si>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</si>
  <si>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</si>
  <si>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</si>
  <si>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</si>
  <si>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</si>
  <si>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</si>
  <si>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</si>
  <si>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</si>
  <si>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</si>
  <si>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</si>
  <si>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</si>
  <si>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</si>
  <si>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</si>
  <si>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</si>
  <si>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</si>
  <si>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</si>
  <si>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</si>
  <si>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</si>
  <si>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</si>
  <si>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</si>
  <si>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</si>
  <si>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</si>
  <si>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</si>
  <si>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</si>
  <si>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</si>
  <si>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</si>
  <si>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</si>
  <si>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</si>
  <si>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</si>
  <si>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</si>
  <si>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</si>
  <si>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</si>
  <si>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</si>
  <si>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</si>
  <si>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</si>
  <si>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</si>
  <si>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</si>
  <si>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</si>
  <si>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</si>
  <si>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</si>
  <si>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</si>
  <si>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</si>
  <si>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</si>
  <si>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</si>
  <si>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</si>
  <si>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</si>
  <si>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</si>
  <si>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</si>
  <si>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</si>
  <si>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</si>
  <si>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</si>
  <si>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</si>
  <si>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</si>
  <si>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</si>
  <si>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</si>
  <si>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</si>
  <si>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</si>
  <si>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</si>
  <si>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</si>
  <si>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</si>
  <si>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</si>
  <si>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</si>
  <si>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</si>
  <si>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</si>
  <si>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</si>
  <si>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</si>
  <si>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</si>
  <si>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</si>
  <si>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</si>
  <si>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</si>
  <si>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</si>
  <si>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</si>
  <si>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</si>
  <si>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</si>
  <si>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</si>
  <si>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</si>
  <si>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</si>
  <si>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</si>
  <si>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</si>
  <si>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</si>
  <si>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</si>
  <si>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</si>
  <si>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</si>
  <si>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</si>
  <si>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</si>
  <si>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</si>
  <si>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</si>
  <si>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</si>
  <si>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</si>
  <si>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</si>
  <si>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</si>
  <si>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</si>
  <si>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</si>
  <si>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</si>
  <si>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</si>
  <si>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</si>
  <si>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</si>
  <si>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</si>
  <si>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</si>
  <si>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</si>
  <si>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</si>
  <si>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</si>
  <si>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</si>
  <si>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</si>
  <si>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</si>
  <si>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</si>
  <si>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</si>
  <si>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</si>
  <si>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</si>
  <si>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</si>
  <si>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</si>
  <si>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</si>
  <si>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</si>
  <si>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</si>
  <si>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</si>
  <si>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</si>
  <si>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</si>
  <si>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</si>
  <si>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</si>
  <si>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</si>
  <si>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</si>
  <si>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</si>
  <si>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</si>
  <si>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</si>
  <si>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</si>
  <si>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</si>
  <si>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</si>
  <si>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</si>
  <si>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</si>
  <si>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</si>
  <si>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</si>
  <si>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</si>
  <si>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</si>
  <si>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</si>
  <si>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</si>
  <si>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</si>
  <si>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</si>
  <si>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</si>
  <si>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</si>
  <si>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</si>
  <si>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</si>
  <si>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</si>
  <si>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</si>
  <si>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</si>
  <si>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</si>
  <si>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</si>
  <si>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</si>
  <si>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</si>
  <si>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</si>
  <si>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</si>
  <si>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</si>
  <si>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</si>
  <si>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</si>
  <si>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</si>
  <si>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</si>
  <si>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</si>
  <si>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</si>
  <si>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</si>
  <si>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</si>
  <si>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</si>
  <si>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</si>
  <si>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</si>
  <si>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</si>
  <si>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</si>
  <si>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</si>
  <si>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</si>
  <si>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</si>
  <si>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</si>
  <si>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</si>
  <si>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</si>
  <si>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</si>
  <si>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</si>
  <si>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</si>
  <si>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</si>
  <si>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</si>
  <si>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</si>
  <si>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</si>
  <si>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</si>
  <si>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</si>
  <si>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</si>
  <si>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</si>
  <si>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</si>
  <si>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</si>
  <si>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</si>
  <si>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</si>
  <si>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</si>
  <si>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</si>
  <si>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</si>
  <si>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</si>
  <si>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</si>
  <si>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</si>
  <si>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</si>
  <si>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</si>
  <si>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</si>
  <si>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</si>
  <si>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</si>
  <si>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</si>
  <si>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</si>
  <si>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</si>
  <si>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</si>
  <si>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</si>
  <si>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</si>
  <si>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</si>
  <si>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</si>
  <si>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</si>
  <si>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</si>
  <si>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</si>
  <si>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</si>
  <si>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</si>
  <si>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</si>
  <si>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</si>
  <si>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</si>
  <si>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</si>
  <si>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</si>
  <si>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</si>
  <si>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</si>
  <si>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</si>
  <si>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</si>
  <si>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</si>
  <si>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</si>
  <si>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</si>
  <si>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</si>
  <si>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</si>
  <si>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</si>
  <si>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</si>
  <si>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</si>
  <si>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</si>
  <si>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</si>
  <si>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</si>
  <si>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</si>
  <si>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</si>
  <si>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</si>
  <si>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</si>
  <si>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</si>
  <si>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</si>
  <si>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</si>
  <si>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</si>
  <si>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</si>
  <si>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</si>
  <si>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</si>
  <si>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</si>
  <si>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</si>
  <si>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</si>
  <si>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</si>
  <si>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</si>
  <si>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</si>
  <si>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</si>
  <si>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</si>
  <si>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</si>
  <si>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</si>
  <si>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</si>
  <si>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</si>
  <si>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</si>
  <si>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</si>
  <si>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</si>
  <si>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</si>
  <si>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</si>
  <si>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</si>
  <si>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</si>
  <si>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</si>
  <si>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</si>
  <si>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</si>
  <si>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</si>
  <si>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</si>
  <si>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</si>
  <si>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</si>
  <si>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</si>
  <si>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</si>
  <si>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</si>
  <si>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</si>
  <si>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</si>
  <si>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</si>
  <si>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</si>
  <si>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</si>
  <si>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</si>
  <si>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</si>
  <si>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</si>
  <si>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</si>
  <si>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</si>
  <si>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</si>
  <si>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</si>
  <si>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</si>
  <si>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</si>
  <si>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</si>
  <si>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</si>
  <si>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</si>
  <si>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</si>
  <si>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</si>
  <si>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</si>
  <si>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</si>
  <si>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</si>
  <si>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</si>
  <si>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</si>
  <si>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</si>
  <si>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</si>
  <si>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</si>
  <si>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</si>
  <si>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</si>
  <si>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</si>
  <si>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</si>
  <si>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</si>
  <si>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</si>
  <si>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</si>
  <si>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</si>
  <si>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</si>
  <si>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</si>
  <si>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</si>
  <si>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</si>
  <si>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</si>
  <si>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</si>
  <si>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</si>
  <si>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</si>
  <si>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</si>
  <si>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</si>
  <si>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</si>
  <si>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</si>
  <si>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</si>
  <si>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</si>
  <si>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</si>
  <si>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</si>
  <si>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</si>
  <si>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</si>
  <si>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</si>
  <si>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</si>
  <si>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</si>
  <si>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</si>
  <si>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</si>
  <si>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</si>
  <si>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</si>
  <si>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</si>
  <si>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</si>
  <si>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</si>
  <si>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</si>
  <si>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</si>
  <si>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</si>
  <si>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</si>
  <si>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</si>
  <si>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</si>
  <si>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</si>
  <si>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</si>
  <si>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</si>
  <si>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</si>
  <si>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</si>
  <si>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</si>
  <si>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</si>
  <si>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</si>
  <si>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</si>
  <si>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</si>
  <si>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</si>
  <si>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</si>
  <si>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</si>
  <si>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</si>
  <si>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</si>
  <si>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</si>
  <si>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</si>
  <si>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</si>
  <si>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</si>
  <si>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</si>
  <si>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</si>
  <si>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</si>
  <si>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</si>
  <si>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</si>
  <si>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</si>
  <si>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</si>
  <si>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</si>
  <si>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</si>
  <si>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</si>
  <si>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</si>
  <si>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</si>
  <si>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</si>
  <si>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</si>
  <si>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</si>
  <si>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</si>
  <si>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</si>
  <si>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</si>
  <si>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</si>
  <si>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</si>
  <si>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</si>
  <si>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</si>
  <si>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</si>
  <si>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</si>
  <si>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</si>
  <si>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</si>
  <si>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</si>
  <si>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</si>
  <si>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</si>
  <si>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</si>
  <si>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</si>
  <si>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</si>
  <si>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</si>
  <si>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</si>
  <si>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</si>
  <si>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</si>
  <si>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</si>
  <si>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</si>
  <si>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</si>
  <si>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</si>
  <si>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</si>
  <si>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</si>
  <si>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</si>
  <si>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</si>
  <si>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</si>
  <si>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</si>
  <si>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</si>
  <si>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</si>
  <si>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</si>
  <si>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</si>
  <si>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</si>
  <si>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</si>
  <si>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</si>
  <si>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</si>
  <si>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</si>
  <si>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</si>
  <si>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</si>
  <si>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</si>
  <si>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</si>
  <si>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</si>
  <si>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</si>
  <si>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</si>
  <si>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</si>
  <si>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</si>
  <si>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</si>
  <si>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</si>
  <si>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</si>
  <si>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</si>
  <si>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</si>
  <si>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</si>
  <si>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</si>
  <si>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</si>
  <si>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</si>
  <si>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</si>
  <si>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</si>
  <si>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</si>
  <si>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</si>
  <si>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</si>
  <si>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</si>
  <si>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</si>
  <si>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</si>
  <si>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</si>
  <si>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</si>
  <si>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</si>
  <si>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</si>
  <si>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</si>
  <si>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</si>
  <si>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</si>
  <si>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</si>
  <si>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</si>
  <si>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</si>
  <si>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</si>
  <si>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</si>
  <si>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</si>
  <si>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</si>
  <si>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</si>
  <si>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</si>
  <si>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</si>
  <si>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</si>
  <si>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</si>
  <si>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</si>
  <si>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</si>
  <si>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</si>
  <si>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</si>
  <si>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</si>
  <si>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</si>
  <si>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</si>
  <si>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</si>
  <si>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</si>
  <si>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</si>
  <si>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</si>
  <si>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</si>
  <si>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</si>
  <si>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</si>
  <si>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</si>
  <si>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</si>
  <si>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</si>
  <si>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</si>
  <si>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</si>
  <si>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</si>
  <si>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</si>
  <si>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</si>
  <si>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</si>
  <si>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</si>
  <si>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</si>
  <si>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</si>
  <si>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</si>
  <si>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</si>
  <si>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</si>
  <si>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</si>
  <si>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</si>
  <si>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</si>
  <si>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</si>
  <si>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</si>
  <si>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</si>
  <si>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</si>
  <si>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</si>
  <si>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</si>
  <si>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</si>
  <si>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</si>
  <si>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</si>
  <si>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</si>
  <si>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</si>
  <si>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</si>
  <si>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</si>
  <si>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</si>
  <si>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</si>
  <si>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</si>
  <si>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</si>
  <si>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</si>
  <si>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</si>
  <si>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</si>
  <si>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</si>
  <si>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</si>
  <si>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</si>
  <si>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</si>
  <si>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</si>
  <si>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</si>
  <si>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</si>
  <si>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</si>
  <si>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</si>
  <si>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</si>
  <si>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</si>
  <si>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</si>
  <si>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</si>
  <si>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</si>
  <si>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</si>
  <si>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</si>
  <si>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</si>
  <si>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</si>
  <si>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</si>
  <si>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</si>
  <si>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</si>
  <si>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</si>
  <si>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</si>
  <si>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</si>
  <si>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</si>
  <si>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</si>
  <si>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</si>
  <si>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</si>
  <si>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</si>
  <si>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</si>
  <si>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</si>
  <si>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</si>
  <si>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</si>
  <si>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</si>
  <si>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</si>
  <si>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</si>
  <si>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</si>
  <si>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</si>
  <si>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</si>
  <si>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</si>
  <si>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</si>
  <si>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</si>
  <si>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</si>
  <si>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</si>
  <si>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</si>
  <si>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</si>
  <si>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</si>
  <si>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</si>
  <si>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</si>
  <si>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</si>
  <si>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</si>
  <si>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</si>
  <si>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</si>
  <si>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</si>
  <si>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</si>
  <si>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</si>
  <si>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</si>
  <si>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</si>
  <si>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</si>
  <si>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</si>
  <si>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</si>
  <si>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</si>
  <si>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</si>
  <si>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</si>
  <si>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</si>
  <si>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</si>
  <si>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</si>
  <si>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</si>
  <si>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</si>
  <si>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</si>
  <si>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</si>
  <si>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</si>
  <si>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</si>
  <si>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</si>
  <si>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</si>
  <si>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</si>
  <si>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</si>
  <si>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</si>
  <si>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</si>
  <si>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</si>
  <si>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</si>
  <si>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</si>
  <si>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</si>
  <si>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</si>
  <si>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</si>
  <si>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</si>
  <si>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</si>
  <si>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</si>
  <si>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</si>
  <si>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</si>
  <si>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</si>
  <si>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</si>
  <si>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</si>
  <si>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</si>
  <si>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</si>
  <si>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</si>
  <si>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</si>
  <si>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</si>
  <si>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</si>
  <si>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</si>
  <si>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</si>
  <si>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</si>
  <si>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</si>
  <si>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</si>
  <si>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</si>
  <si>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</si>
  <si>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</si>
  <si>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</si>
  <si>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</si>
  <si>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</si>
  <si>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</si>
  <si>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</si>
  <si>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</si>
  <si>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</si>
  <si>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</si>
  <si>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</si>
  <si>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</si>
  <si>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</si>
  <si>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</si>
  <si>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</si>
  <si>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</si>
  <si>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</si>
  <si>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</si>
  <si>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</si>
  <si>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</si>
  <si>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</si>
  <si>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</si>
  <si>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</si>
  <si>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</si>
  <si>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</si>
  <si>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</si>
  <si>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</si>
  <si>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</si>
  <si>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</si>
  <si>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</si>
  <si>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</si>
  <si>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</si>
  <si>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</si>
  <si>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</si>
  <si>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</si>
  <si>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</si>
  <si>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</si>
  <si>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</si>
  <si>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</si>
  <si>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</si>
  <si>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</si>
  <si>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</si>
  <si>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</si>
  <si>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</si>
  <si>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</si>
  <si>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</si>
  <si>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</si>
  <si>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</si>
  <si>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</si>
  <si>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</si>
  <si>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</si>
  <si>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</si>
  <si>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</si>
  <si>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</si>
  <si>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</si>
  <si>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</si>
  <si>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</si>
  <si>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</si>
  <si>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</si>
  <si>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</si>
  <si>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</si>
  <si>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</si>
  <si>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</si>
  <si>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</si>
  <si>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</si>
  <si>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</si>
  <si>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</si>
  <si>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</si>
  <si>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</si>
  <si>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</si>
  <si>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</si>
  <si>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</si>
  <si>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</si>
  <si>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</si>
  <si>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</si>
  <si>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</si>
  <si>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</si>
  <si>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</si>
  <si>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</si>
  <si>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</si>
  <si>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</si>
  <si>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</si>
  <si>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</si>
  <si>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</si>
  <si>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</si>
  <si>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</si>
  <si>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</si>
  <si>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</si>
  <si>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</si>
  <si>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</si>
  <si>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</si>
  <si>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</si>
  <si>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</si>
  <si>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</si>
  <si>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</si>
  <si>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</si>
  <si>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</si>
  <si>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</si>
  <si>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</si>
  <si>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</si>
  <si>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</si>
  <si>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</si>
  <si>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</si>
  <si>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</si>
  <si>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</si>
  <si>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</si>
  <si>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</si>
  <si>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</si>
  <si>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</si>
  <si>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</si>
  <si>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</si>
  <si>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</si>
  <si>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</si>
  <si>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</si>
  <si>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</si>
  <si>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</si>
  <si>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</si>
  <si>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</si>
  <si>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</si>
  <si>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</si>
  <si>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</si>
  <si>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</si>
  <si>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</si>
  <si>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</si>
  <si>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</si>
  <si>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</si>
  <si>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</si>
  <si>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</si>
  <si>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</si>
  <si>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</si>
  <si>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</si>
  <si>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</si>
  <si>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</si>
  <si>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</si>
  <si>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</si>
  <si>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</si>
  <si>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</si>
  <si>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</si>
  <si>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</si>
  <si>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</si>
  <si>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</si>
  <si>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</si>
  <si>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</si>
  <si>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</si>
  <si>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</si>
  <si>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</si>
  <si>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</si>
  <si>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</si>
  <si>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</si>
  <si>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</si>
  <si>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</si>
  <si>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</si>
  <si>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</si>
  <si>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</si>
  <si>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</si>
  <si>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</si>
  <si>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</si>
  <si>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</si>
  <si>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</si>
  <si>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</si>
  <si>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</si>
  <si>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</si>
  <si>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</si>
  <si>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</si>
  <si>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</si>
  <si>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</si>
  <si>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</si>
  <si>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</si>
  <si>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</si>
  <si>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</si>
  <si>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</si>
  <si>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</si>
  <si>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</si>
  <si>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</si>
  <si>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</si>
  <si>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</si>
  <si>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</si>
  <si>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</si>
  <si>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</si>
  <si>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</si>
  <si>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</si>
  <si>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</si>
  <si>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</si>
  <si>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</si>
  <si>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</si>
  <si>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</si>
  <si>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</si>
  <si>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</si>
  <si>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</si>
  <si>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</si>
  <si>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</si>
  <si>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</si>
  <si>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</si>
  <si>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</si>
  <si>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</si>
  <si>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</si>
  <si>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</si>
  <si>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</si>
  <si>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</si>
  <si>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</si>
  <si>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</si>
  <si>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</si>
  <si>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</si>
  <si>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</si>
  <si>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</si>
  <si>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</si>
  <si>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</si>
  <si>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</si>
  <si>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</si>
  <si>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</si>
  <si>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</si>
  <si>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</si>
  <si>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</si>
  <si>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</si>
  <si>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</si>
  <si>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</si>
  <si>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</si>
  <si>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</si>
  <si>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</si>
  <si>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</si>
  <si>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</si>
  <si>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</si>
  <si>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</si>
  <si>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</si>
  <si>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</si>
  <si>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</si>
  <si>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</si>
  <si>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</si>
  <si>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</si>
  <si>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</si>
  <si>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</si>
  <si>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</si>
  <si>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</si>
  <si>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</si>
  <si>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</si>
  <si>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</si>
  <si>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</si>
  <si>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</si>
  <si>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</si>
  <si>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</si>
  <si>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</si>
  <si>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</si>
  <si>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</si>
  <si>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</si>
  <si>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</si>
  <si>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</si>
  <si>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</si>
  <si>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</si>
  <si>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</si>
  <si>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</si>
  <si>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</si>
  <si>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</si>
  <si>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</si>
  <si>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</si>
  <si>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</si>
  <si>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</si>
  <si>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</si>
  <si>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</si>
  <si>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</si>
  <si>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</si>
  <si>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</si>
  <si>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</si>
  <si>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</si>
  <si>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</si>
  <si>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</si>
  <si>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</si>
  <si>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</si>
  <si>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</si>
  <si>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</si>
  <si>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</si>
  <si>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</si>
  <si>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</si>
  <si>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</si>
  <si>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</si>
  <si>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</si>
  <si>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</si>
  <si>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</si>
  <si>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</si>
  <si>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</si>
  <si>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</si>
  <si>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</si>
  <si>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</si>
  <si>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</si>
  <si>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</si>
  <si>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</si>
  <si>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</si>
  <si>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</si>
  <si>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</si>
  <si>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</si>
  <si>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</si>
  <si>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</si>
  <si>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</si>
  <si>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</si>
  <si>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</si>
  <si>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</si>
  <si>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</si>
  <si>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</si>
  <si>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</si>
  <si>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</si>
  <si>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</si>
  <si>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</si>
  <si>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</si>
  <si>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</si>
  <si>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</si>
  <si>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</si>
  <si>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</si>
  <si>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</si>
  <si>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</si>
  <si>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</si>
  <si>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</si>
  <si>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</si>
  <si>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</si>
  <si>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</si>
  <si>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</si>
  <si>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</si>
  <si>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</si>
  <si>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</si>
  <si>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</si>
  <si>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</si>
  <si>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</si>
  <si>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</si>
  <si>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</si>
  <si>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</si>
  <si>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</si>
  <si>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</si>
  <si>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</si>
  <si>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</si>
  <si>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</si>
  <si>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</si>
  <si>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</si>
  <si>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</si>
  <si>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</si>
  <si>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</si>
  <si>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</si>
  <si>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</si>
  <si>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</si>
  <si>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</si>
  <si>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</si>
  <si>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</si>
  <si>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</si>
  <si>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</si>
  <si>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</si>
  <si>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</si>
  <si>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</si>
  <si>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</si>
  <si>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</si>
  <si>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</si>
  <si>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</si>
  <si>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</si>
  <si>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</si>
  <si>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</si>
  <si>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</si>
  <si>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</si>
  <si>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</si>
  <si>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</si>
  <si>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</si>
  <si>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</si>
  <si>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</si>
  <si>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</si>
  <si>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</si>
  <si>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</si>
  <si>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</si>
  <si>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</si>
  <si>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</si>
  <si>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</si>
  <si>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</si>
  <si>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</si>
  <si>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</si>
  <si>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</si>
  <si>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</si>
  <si>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</si>
  <si>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</si>
  <si>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</si>
  <si>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</si>
  <si>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</si>
  <si>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</si>
  <si>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</si>
  <si>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</si>
  <si>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</si>
  <si>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</si>
  <si>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</si>
  <si>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</si>
  <si>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</si>
  <si>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</si>
  <si>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</si>
  <si>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</si>
  <si>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</si>
  <si>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</si>
  <si>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</si>
  <si>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</si>
  <si>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</si>
  <si>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</si>
  <si>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</si>
  <si>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</si>
  <si>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</si>
  <si>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</si>
  <si>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</si>
  <si>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</si>
  <si>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</si>
  <si>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</si>
  <si>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</si>
  <si>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</si>
  <si>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</si>
  <si>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</si>
  <si>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</si>
  <si>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</si>
  <si>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</si>
  <si>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</si>
  <si>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</si>
  <si>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</si>
  <si>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</si>
  <si>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</si>
  <si>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</si>
  <si>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</si>
  <si>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</si>
  <si>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</si>
  <si>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</si>
  <si>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</si>
  <si>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</si>
  <si>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</si>
  <si>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</si>
  <si>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</si>
  <si>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</si>
  <si>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</si>
  <si>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</si>
  <si>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</si>
  <si>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</si>
  <si>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</si>
  <si>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</si>
  <si>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</si>
  <si>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</si>
  <si>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</si>
  <si>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</si>
  <si>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</si>
  <si>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</si>
  <si>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</si>
  <si>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</si>
  <si>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</si>
  <si>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</si>
  <si>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</si>
  <si>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</si>
  <si>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</si>
  <si>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</si>
  <si>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</si>
  <si>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</si>
  <si>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</si>
  <si>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</si>
  <si>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</si>
  <si>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</si>
  <si>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</si>
  <si>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</si>
  <si>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</si>
  <si>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</si>
  <si>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</si>
  <si>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</si>
  <si>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</si>
  <si>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</si>
  <si>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</si>
  <si>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</si>
  <si>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</si>
  <si>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</si>
  <si>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</si>
  <si>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</si>
  <si>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</si>
  <si>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</si>
  <si>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</si>
  <si>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</si>
  <si>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</si>
  <si>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</si>
  <si>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</si>
  <si>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</si>
  <si>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</si>
  <si>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</si>
  <si>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</si>
  <si>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</si>
  <si>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</si>
  <si>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</si>
  <si>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</si>
  <si>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</si>
  <si>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</si>
  <si>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</si>
  <si>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</si>
  <si>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</si>
  <si>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</si>
  <si>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</si>
  <si>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</si>
  <si>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</si>
  <si>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</si>
  <si>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</si>
  <si>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</si>
  <si>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</si>
  <si>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</si>
  <si>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</si>
  <si>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</si>
  <si>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</si>
  <si>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</si>
  <si>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</si>
  <si>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</si>
  <si>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</si>
  <si>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</si>
  <si>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</si>
  <si>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</si>
  <si>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</si>
  <si>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</si>
  <si>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</si>
  <si>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</si>
  <si>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</si>
  <si>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</si>
  <si>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</si>
  <si>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</si>
  <si>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</si>
  <si>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</si>
  <si>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</si>
  <si>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</si>
  <si>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</si>
  <si>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</si>
  <si>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</si>
  <si>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</si>
  <si>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</si>
  <si>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</si>
  <si>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</si>
  <si>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</si>
  <si>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</si>
  <si>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</si>
  <si>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</si>
  <si>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</si>
  <si>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</si>
  <si>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</si>
  <si>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</si>
  <si>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</si>
  <si>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</si>
  <si>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</si>
  <si>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</si>
  <si>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</si>
  <si>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</si>
  <si>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</si>
  <si>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</si>
  <si>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</si>
  <si>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</si>
  <si>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</si>
  <si>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</si>
  <si>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</si>
  <si>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</si>
  <si>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</si>
  <si>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</si>
  <si>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</si>
  <si>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</si>
  <si>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</si>
  <si>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</si>
  <si>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</si>
  <si>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</si>
  <si>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</si>
  <si>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</si>
  <si>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</si>
  <si>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</si>
  <si>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</si>
  <si>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</si>
  <si>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</si>
  <si>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</si>
  <si>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</si>
  <si>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</si>
  <si>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</si>
  <si>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</si>
  <si>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</si>
  <si>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</si>
  <si>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</si>
  <si>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</si>
  <si>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</si>
  <si>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</si>
  <si>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</si>
  <si>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</si>
  <si>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</si>
  <si>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</si>
  <si>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</si>
  <si>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</si>
  <si>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</si>
  <si>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</si>
  <si>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</si>
  <si>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</si>
  <si>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</si>
  <si>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</si>
  <si>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</si>
  <si>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</si>
  <si>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</si>
  <si>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</si>
  <si>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</si>
  <si>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</si>
  <si>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</si>
  <si>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</si>
  <si>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</si>
  <si>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</si>
  <si>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</si>
  <si>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</si>
  <si>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</si>
  <si>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</si>
  <si>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</si>
  <si>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</si>
  <si>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</si>
  <si>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</si>
  <si>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</si>
  <si>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</si>
  <si>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</si>
  <si>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</si>
  <si>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</si>
  <si>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</si>
  <si>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</si>
  <si>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</si>
  <si>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</si>
  <si>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</si>
  <si>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</si>
  <si>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</si>
  <si>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</si>
  <si>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</si>
  <si>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</si>
  <si>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</si>
  <si>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</si>
  <si>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</si>
  <si>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</si>
  <si>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</si>
  <si>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</si>
  <si>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</si>
  <si>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</si>
  <si>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</si>
  <si>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</si>
  <si>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</si>
  <si>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</si>
  <si>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</si>
  <si>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</si>
  <si>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</si>
  <si>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</si>
  <si>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</si>
  <si>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</si>
  <si>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</si>
  <si>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</si>
  <si>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</si>
  <si>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</si>
  <si>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</si>
  <si>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</si>
  <si>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</si>
  <si>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</si>
  <si>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</si>
  <si>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</si>
  <si>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</si>
  <si>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</si>
  <si>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</si>
  <si>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</si>
  <si>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</si>
  <si>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</si>
  <si>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</si>
  <si>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</si>
  <si>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</si>
  <si>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</si>
  <si>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</si>
  <si>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</si>
  <si>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</si>
  <si>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</si>
  <si>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</si>
  <si>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</si>
  <si>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</si>
  <si>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</si>
  <si>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</si>
  <si>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</si>
  <si>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</si>
  <si>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</si>
  <si>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</si>
  <si>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</si>
  <si>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</si>
  <si>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</si>
  <si>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</si>
  <si>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</si>
  <si>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</si>
  <si>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</si>
  <si>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</si>
  <si>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</si>
  <si>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</si>
  <si>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</si>
  <si>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</si>
  <si>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</si>
  <si>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</si>
  <si>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</si>
  <si>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</si>
  <si>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</si>
  <si>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</si>
  <si>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</si>
  <si>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</si>
  <si>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</si>
  <si>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</si>
  <si>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</si>
  <si>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</si>
  <si>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</si>
  <si>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</si>
  <si>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</si>
  <si>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</si>
  <si>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</si>
  <si>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</si>
  <si>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</si>
  <si>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</si>
  <si>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</si>
  <si>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</si>
  <si>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</si>
  <si>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</si>
  <si>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</si>
  <si>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</si>
  <si>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</si>
  <si>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</si>
  <si>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</si>
  <si>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</si>
  <si>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</si>
  <si>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</si>
  <si>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</si>
  <si>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</si>
  <si>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</si>
  <si>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</si>
  <si>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</si>
  <si>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</si>
  <si>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</si>
  <si>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</si>
  <si>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</si>
  <si>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</si>
  <si>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</si>
  <si>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</si>
  <si>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</si>
  <si>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</si>
  <si>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</si>
  <si>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</si>
  <si>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</si>
  <si>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</si>
  <si>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</si>
  <si>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</si>
  <si>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</si>
  <si>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</si>
  <si>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</si>
  <si>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</si>
  <si>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</si>
  <si>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</si>
  <si>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</si>
  <si>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</si>
  <si>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</si>
  <si>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</si>
  <si>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</si>
  <si>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</si>
  <si>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</si>
  <si>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</si>
  <si>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</si>
  <si>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</si>
  <si>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</si>
  <si>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</si>
  <si>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</si>
  <si>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</si>
  <si>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</si>
  <si>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</si>
  <si>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</si>
  <si>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</si>
  <si>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</si>
  <si>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</si>
  <si>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</si>
  <si>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</si>
  <si>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</si>
  <si>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</si>
  <si>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</si>
  <si>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</si>
  <si>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</si>
  <si>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</si>
  <si>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</si>
  <si>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</si>
  <si>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</si>
  <si>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</si>
  <si>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</si>
  <si>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</si>
  <si>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</si>
  <si>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</si>
  <si>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</si>
  <si>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</si>
  <si>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</si>
  <si>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</si>
  <si>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</si>
  <si>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</si>
  <si>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</si>
  <si>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</si>
  <si>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</si>
  <si>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</si>
  <si>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</si>
  <si>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</si>
  <si>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</si>
  <si>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</si>
  <si>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</si>
  <si>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</si>
  <si>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</si>
  <si>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</si>
  <si>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</si>
  <si>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</si>
  <si>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</si>
  <si>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</si>
  <si>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</si>
  <si>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</si>
  <si>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</si>
  <si>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</si>
  <si>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</si>
  <si>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</si>
  <si>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</si>
  <si>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</si>
  <si>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</si>
  <si>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</si>
  <si>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</si>
  <si>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</si>
  <si>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</si>
  <si>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</si>
  <si>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</si>
  <si>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</si>
  <si>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</si>
  <si>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</si>
  <si>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</si>
  <si>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</si>
  <si>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</si>
  <si>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</si>
  <si>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</si>
  <si>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</si>
  <si>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</si>
  <si>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</si>
  <si>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</si>
  <si>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</si>
  <si>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</si>
  <si>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</si>
  <si>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</si>
  <si>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</si>
  <si>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</si>
  <si>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</si>
  <si>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</si>
  <si>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</si>
  <si>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</si>
  <si>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</si>
  <si>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</si>
  <si>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</si>
  <si>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</si>
  <si>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</si>
  <si>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</si>
  <si>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</si>
  <si>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</si>
  <si>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</si>
  <si>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</si>
  <si>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</si>
  <si>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</si>
  <si>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</si>
  <si>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</si>
  <si>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</si>
  <si>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</si>
  <si>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</si>
  <si>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</si>
  <si>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</si>
  <si>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</si>
  <si>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</si>
  <si>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</si>
  <si>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</si>
  <si>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</si>
  <si>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</si>
  <si>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</si>
  <si>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</si>
  <si>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</si>
  <si>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</si>
  <si>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</si>
  <si>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</si>
  <si>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</si>
  <si>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</si>
  <si>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</si>
  <si>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</si>
  <si>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</si>
  <si>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</si>
  <si>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</si>
  <si>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</si>
  <si>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</si>
  <si>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</si>
  <si>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</si>
  <si>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</si>
  <si>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</si>
  <si>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</si>
  <si>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</si>
  <si>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</si>
  <si>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</si>
  <si>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</si>
  <si>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</si>
  <si>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</si>
  <si>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</si>
  <si>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</si>
  <si>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</si>
  <si>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</si>
  <si>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</si>
  <si>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</si>
  <si>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</si>
  <si>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</si>
  <si>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</si>
  <si>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</si>
  <si>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</si>
  <si>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</si>
  <si>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</si>
  <si>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</si>
  <si>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</si>
  <si>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</si>
  <si>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</si>
  <si>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</si>
  <si>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</si>
  <si>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</si>
  <si>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</si>
  <si>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</si>
  <si>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</si>
  <si>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</si>
  <si>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</si>
  <si>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</si>
  <si>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</si>
  <si>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</si>
  <si>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</si>
  <si>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</si>
  <si>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</si>
  <si>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</si>
  <si>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</si>
  <si>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</si>
  <si>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</si>
  <si>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</si>
  <si>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</si>
  <si>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</si>
  <si>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</si>
  <si>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</si>
  <si>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</si>
  <si>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</si>
  <si>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</si>
  <si>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</si>
  <si>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</si>
  <si>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</si>
  <si>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</si>
  <si>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</si>
  <si>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</si>
  <si>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</si>
  <si>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</si>
  <si>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</si>
  <si>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</si>
  <si>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</si>
  <si>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</si>
  <si>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</si>
  <si>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</si>
  <si>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</si>
  <si>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</si>
  <si>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</si>
  <si>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</si>
  <si>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</si>
  <si>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</si>
  <si>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</si>
  <si>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</si>
  <si>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</si>
  <si>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</si>
  <si>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</si>
  <si>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</si>
  <si>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</si>
  <si>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</si>
  <si>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</si>
  <si>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</si>
  <si>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</si>
  <si>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</si>
  <si>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</si>
  <si>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</si>
  <si>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</si>
  <si>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</si>
  <si>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</si>
  <si>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</si>
  <si>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</si>
  <si>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</si>
  <si>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</si>
  <si>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</si>
  <si>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</si>
  <si>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</si>
  <si>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</si>
  <si>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</si>
  <si>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</si>
  <si>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</si>
  <si>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</si>
  <si>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</si>
  <si>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</si>
  <si>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</si>
  <si>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</si>
  <si>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</si>
  <si>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</si>
  <si>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</si>
  <si>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</si>
  <si>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</si>
  <si>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</si>
  <si>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</si>
  <si>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</si>
  <si>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</si>
  <si>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</si>
  <si>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</si>
  <si>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</si>
  <si>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</si>
  <si>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</si>
  <si>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</si>
  <si>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</si>
  <si>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</si>
  <si>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</si>
  <si>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</si>
  <si>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</si>
  <si>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</si>
  <si>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</si>
  <si>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</si>
  <si>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</si>
  <si>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</si>
  <si>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</si>
  <si>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</si>
  <si>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</si>
  <si>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</si>
  <si>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</si>
  <si>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</si>
  <si>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</si>
  <si>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</si>
  <si>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</si>
  <si>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</si>
  <si>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</si>
  <si>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</si>
  <si>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</si>
  <si>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</si>
  <si>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</si>
  <si>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</si>
  <si>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</si>
  <si>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</si>
  <si>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</si>
  <si>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</si>
  <si>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</si>
  <si>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</si>
  <si>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</si>
  <si>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</si>
  <si>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</si>
  <si>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</si>
  <si>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</si>
  <si>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</si>
  <si>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</si>
  <si>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</si>
  <si>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</si>
  <si>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</si>
  <si>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</si>
  <si>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</si>
  <si>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</si>
  <si>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</si>
  <si>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</si>
  <si>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</si>
  <si>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</si>
  <si>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</si>
  <si>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</si>
  <si>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</si>
  <si>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</si>
  <si>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</si>
  <si>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</si>
  <si>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</si>
  <si>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</si>
  <si>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</si>
  <si>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</si>
  <si>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</si>
  <si>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</si>
  <si>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</si>
  <si>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</si>
  <si>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</si>
  <si>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</si>
  <si>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</si>
  <si>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</si>
  <si>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</si>
  <si>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</si>
  <si>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</si>
  <si>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</si>
  <si>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</si>
  <si>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</si>
  <si>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</si>
  <si>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</si>
  <si>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</si>
  <si>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</si>
  <si>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</si>
  <si>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</si>
  <si>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</si>
  <si>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</si>
  <si>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</si>
  <si>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</si>
  <si>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</si>
  <si>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</si>
  <si>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</si>
  <si>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</si>
  <si>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</si>
  <si>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</si>
  <si>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</si>
  <si>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</si>
  <si>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</si>
  <si>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</si>
  <si>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</si>
  <si>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</si>
  <si>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</si>
  <si>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</si>
  <si>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</si>
  <si>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</si>
  <si>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</si>
  <si>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</si>
  <si>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</si>
  <si>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</si>
  <si>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</si>
  <si>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</si>
  <si>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</si>
  <si>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</si>
  <si>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</si>
  <si>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</si>
  <si>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</si>
  <si>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</si>
  <si>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</si>
  <si>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</si>
  <si>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</si>
  <si>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</si>
  <si>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</si>
  <si>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</si>
  <si>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</si>
  <si>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</si>
  <si>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</si>
  <si>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</si>
  <si>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</si>
  <si>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</si>
  <si>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</si>
  <si>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</si>
  <si>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</si>
  <si>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</si>
  <si>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</si>
  <si>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</si>
  <si>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</si>
  <si>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</si>
  <si>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</si>
  <si>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</si>
  <si>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</si>
  <si>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</si>
  <si>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</si>
  <si>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</si>
  <si>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</si>
  <si>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</si>
  <si>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</si>
  <si>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</si>
  <si>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</si>
  <si>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</si>
  <si>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</si>
  <si>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</si>
  <si>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</si>
  <si>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</si>
  <si>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</si>
  <si>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</si>
  <si>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</si>
  <si>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</si>
  <si>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</si>
  <si>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</si>
  <si>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</si>
  <si>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</si>
  <si>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</si>
  <si>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</si>
  <si>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</si>
  <si>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</si>
  <si>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</si>
  <si>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</si>
  <si>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</si>
  <si>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</si>
  <si>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</si>
  <si>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</si>
  <si>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</si>
  <si>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</si>
  <si>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</si>
  <si>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</si>
  <si>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</si>
  <si>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</si>
  <si>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</si>
  <si>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</si>
  <si>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</si>
  <si>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</si>
  <si>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</si>
  <si>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</si>
  <si>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</si>
  <si>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</si>
  <si>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</si>
  <si>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</si>
  <si>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</si>
  <si>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</si>
  <si>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</si>
  <si>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</si>
  <si>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</si>
  <si>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</si>
  <si>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</si>
  <si>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</si>
  <si>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</si>
  <si>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</si>
  <si>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</si>
  <si>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</si>
  <si>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</si>
  <si>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</si>
  <si>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</si>
  <si>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</si>
  <si>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</si>
  <si>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</si>
  <si>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</si>
  <si>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</si>
  <si>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</si>
  <si>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</si>
  <si>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</si>
  <si>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</si>
  <si>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</si>
  <si>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</si>
  <si>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</si>
  <si>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</si>
  <si>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</si>
  <si>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</si>
  <si>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</si>
  <si>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</si>
  <si>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</si>
  <si>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</si>
  <si>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</si>
  <si>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</si>
  <si>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</si>
  <si>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</si>
  <si>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</si>
  <si>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</si>
  <si>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</si>
  <si>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</si>
  <si>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</si>
  <si>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</si>
  <si>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</si>
  <si>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</si>
  <si>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</si>
  <si>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</si>
  <si>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</si>
  <si>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</si>
  <si>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</si>
  <si>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</si>
  <si>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</si>
  <si>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</si>
  <si>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</si>
  <si>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</si>
  <si>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</si>
  <si>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</si>
  <si>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</si>
  <si>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</si>
  <si>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</si>
  <si>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</si>
  <si>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</si>
  <si>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</si>
  <si>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</si>
  <si>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</si>
  <si>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</si>
  <si>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</si>
  <si>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</si>
  <si>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</si>
  <si>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</si>
  <si>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</si>
  <si>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</si>
  <si>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</si>
  <si>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</si>
  <si>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</si>
  <si>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</si>
  <si>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</si>
  <si>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</si>
  <si>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</si>
  <si>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</si>
  <si>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</si>
  <si>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</si>
  <si>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</si>
  <si>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</si>
  <si>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</si>
  <si>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</si>
  <si>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</si>
  <si>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</si>
  <si>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</si>
  <si>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</si>
  <si>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</si>
  <si>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</si>
  <si>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</si>
  <si>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</si>
  <si>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</si>
  <si>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</si>
  <si>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</si>
  <si>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</si>
  <si>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</si>
  <si>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</si>
  <si>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</si>
  <si>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</si>
  <si>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</si>
  <si>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</si>
  <si>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</si>
  <si>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</si>
  <si>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</si>
  <si>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</si>
  <si>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</si>
  <si>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</si>
  <si>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</si>
  <si>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</si>
  <si>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</si>
  <si>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</si>
  <si>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</si>
  <si>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</si>
  <si>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</si>
  <si>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</si>
  <si>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</si>
  <si>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</si>
  <si>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</si>
  <si>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</si>
  <si>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</si>
  <si>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</si>
  <si>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</si>
  <si>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</si>
  <si>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</si>
  <si>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</si>
  <si>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</si>
  <si>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</si>
  <si>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</si>
  <si>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</si>
  <si>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</si>
  <si>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</si>
  <si>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</si>
  <si>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</si>
  <si>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</si>
  <si>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</si>
  <si>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</si>
  <si>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</si>
  <si>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</si>
  <si>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</si>
  <si>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</si>
  <si>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</si>
  <si>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</si>
  <si>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</si>
  <si>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</si>
  <si>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</si>
  <si>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</si>
  <si>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</si>
  <si>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</si>
  <si>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</si>
  <si>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</si>
  <si>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</si>
  <si>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</si>
  <si>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</si>
  <si>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</si>
  <si>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</si>
  <si>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</si>
  <si>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</si>
  <si>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</si>
  <si>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</si>
  <si>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</si>
  <si>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</si>
  <si>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</si>
  <si>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</si>
  <si>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</si>
  <si>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</si>
  <si>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</si>
  <si>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</si>
  <si>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</si>
  <si>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</si>
  <si>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</si>
  <si>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</si>
  <si>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</si>
  <si>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</si>
  <si>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</si>
  <si>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</si>
  <si>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</si>
  <si>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</si>
  <si>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</si>
  <si>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</si>
  <si>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</si>
  <si>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</si>
  <si>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</si>
  <si>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</si>
  <si>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</si>
  <si>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</si>
  <si>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</si>
  <si>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</si>
  <si>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</si>
  <si>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</si>
  <si>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</si>
  <si>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</si>
  <si>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</si>
  <si>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</si>
  <si>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</si>
  <si>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</si>
  <si>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</si>
  <si>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</si>
  <si>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</si>
  <si>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</si>
  <si>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</si>
  <si>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</si>
  <si>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</si>
  <si>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</si>
  <si>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</si>
  <si>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</si>
  <si>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</si>
  <si>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</si>
  <si>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</si>
  <si>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</si>
  <si>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</si>
  <si>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</si>
  <si>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</si>
  <si>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</si>
  <si>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</si>
  <si>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</si>
  <si>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</si>
  <si>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</si>
  <si>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</si>
  <si>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</si>
  <si>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</si>
  <si>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</si>
  <si>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</si>
  <si>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</si>
  <si>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</si>
  <si>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</si>
  <si>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</si>
  <si>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</si>
  <si>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</si>
  <si>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</si>
  <si>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</si>
  <si>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</si>
  <si>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</si>
  <si>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</si>
  <si>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</si>
  <si>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</si>
  <si>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</si>
  <si>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</si>
  <si>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</si>
  <si>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</si>
  <si>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</si>
  <si>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</si>
  <si>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</si>
  <si>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</si>
  <si>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</si>
  <si>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</si>
  <si>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</si>
  <si>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</si>
  <si>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</si>
  <si>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</si>
  <si>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</si>
  <si>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</si>
  <si>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</si>
  <si>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</si>
  <si>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</si>
  <si>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</si>
  <si>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</si>
  <si>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</si>
  <si>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</si>
  <si>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</si>
  <si>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</si>
  <si>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</si>
  <si>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</si>
  <si>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</si>
  <si>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</si>
  <si>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</si>
  <si>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</si>
  <si>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</si>
  <si>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</si>
  <si>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</si>
  <si>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</si>
  <si>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</si>
  <si>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</si>
  <si>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</si>
  <si>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</si>
  <si>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</si>
  <si>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</si>
  <si>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</si>
  <si>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</si>
  <si>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</si>
  <si>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</si>
  <si>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</si>
  <si>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</si>
  <si>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</si>
  <si>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</si>
  <si>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</si>
  <si>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</si>
  <si>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</si>
  <si>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</si>
  <si>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</si>
  <si>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</si>
  <si>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</si>
  <si>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</si>
  <si>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</si>
  <si>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</si>
  <si>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</si>
  <si>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</si>
  <si>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</si>
  <si>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</si>
  <si>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</si>
  <si>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</si>
  <si>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</si>
  <si>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</si>
  <si>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</si>
  <si>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</si>
  <si>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</si>
  <si>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</si>
  <si>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</si>
  <si>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</si>
  <si>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</si>
  <si>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</si>
  <si>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</si>
  <si>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</si>
  <si>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</si>
  <si>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</si>
  <si>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</si>
  <si>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</si>
  <si>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</si>
  <si>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</si>
  <si>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</si>
  <si>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</si>
  <si>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</si>
  <si>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</si>
  <si>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</si>
  <si>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</si>
  <si>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</si>
  <si>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</si>
  <si>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</si>
  <si>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</si>
  <si>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</si>
  <si>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</si>
  <si>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</si>
  <si>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</si>
  <si>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</si>
  <si>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</si>
  <si>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</si>
  <si>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</si>
  <si>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</si>
  <si>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</si>
  <si>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</si>
  <si>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</si>
  <si>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</si>
  <si>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</si>
  <si>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</si>
  <si>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</si>
  <si>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</si>
  <si>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</si>
  <si>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</si>
  <si>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</si>
  <si>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</si>
  <si>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</si>
  <si>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</si>
  <si>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</si>
  <si>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</si>
  <si>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</si>
  <si>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</si>
  <si>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</si>
  <si>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</si>
  <si>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</si>
  <si>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</si>
  <si>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</si>
  <si>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</si>
  <si>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</si>
  <si>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</si>
  <si>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</si>
  <si>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</si>
  <si>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</si>
  <si>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</si>
  <si>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</si>
  <si>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</si>
  <si>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</si>
  <si>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</si>
  <si>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</si>
  <si>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</si>
  <si>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</si>
  <si>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</si>
  <si>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</si>
  <si>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</si>
  <si>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</si>
  <si>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</si>
  <si>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</si>
  <si>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</si>
  <si>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</si>
  <si>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</si>
  <si>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</si>
  <si>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</si>
  <si>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</si>
  <si>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</si>
  <si>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</si>
  <si>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</si>
  <si>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</si>
  <si>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</si>
  <si>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</si>
  <si>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</si>
  <si>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</si>
  <si>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</si>
  <si>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</si>
  <si>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</si>
  <si>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</si>
  <si>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</si>
  <si>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</si>
  <si>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</si>
  <si>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</si>
  <si>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</si>
  <si>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</si>
  <si>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</si>
  <si>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</si>
  <si>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</si>
  <si>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</si>
  <si>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</si>
  <si>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</si>
  <si>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</si>
  <si>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</si>
  <si>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</si>
  <si>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</si>
  <si>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</si>
  <si>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</si>
  <si>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</si>
  <si>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</si>
  <si>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</si>
  <si>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</si>
  <si>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</si>
  <si>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</si>
  <si>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</si>
  <si>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</si>
  <si>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</si>
  <si>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</si>
  <si>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</si>
  <si>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</si>
  <si>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</si>
  <si>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</si>
  <si>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</si>
  <si>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</si>
  <si>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</si>
  <si>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</si>
  <si>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</si>
  <si>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</si>
  <si>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</si>
  <si>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</si>
  <si>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</si>
  <si>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</si>
  <si>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</si>
  <si>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</si>
  <si>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</si>
  <si>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</si>
  <si>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</si>
  <si>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</si>
  <si>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</si>
  <si>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</si>
  <si>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</si>
  <si>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</si>
  <si>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</si>
  <si>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</si>
  <si>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</si>
  <si>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</si>
  <si>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</si>
  <si>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</si>
  <si>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</si>
  <si>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</si>
  <si>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</si>
  <si>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</si>
  <si>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</si>
  <si>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</si>
  <si>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</si>
  <si>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</si>
  <si>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</si>
  <si>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</si>
  <si>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</si>
  <si>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</si>
  <si>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</si>
  <si>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</si>
  <si>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</si>
  <si>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</si>
  <si>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</si>
  <si>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</si>
  <si>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</si>
  <si>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</si>
  <si>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</si>
  <si>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</si>
  <si>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</si>
  <si>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</si>
  <si>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</si>
  <si>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</si>
  <si>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</si>
  <si>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</si>
  <si>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</si>
  <si>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</si>
  <si>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</si>
  <si>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</si>
  <si>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</si>
  <si>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</si>
  <si>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</si>
  <si>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</si>
  <si>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</si>
  <si>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</si>
  <si>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</si>
  <si>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</si>
  <si>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</si>
  <si>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</si>
  <si>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</si>
  <si>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</si>
  <si>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</si>
  <si>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</si>
  <si>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</si>
  <si>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</si>
  <si>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</si>
  <si>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</si>
  <si>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</si>
  <si>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</si>
  <si>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</si>
  <si>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</si>
  <si>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</si>
  <si>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</si>
  <si>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</si>
  <si>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</si>
  <si>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</si>
  <si>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</si>
  <si>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</si>
  <si>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</si>
  <si>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</si>
  <si>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</si>
  <si>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</si>
  <si>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</si>
  <si>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</si>
  <si>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</si>
  <si>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</si>
  <si>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</si>
  <si>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</si>
  <si>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</si>
  <si>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</si>
  <si>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</si>
  <si>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</si>
  <si>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</si>
  <si>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</si>
  <si>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</si>
  <si>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</si>
  <si>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</si>
  <si>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</si>
  <si>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</si>
  <si>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</si>
  <si>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</si>
  <si>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</si>
  <si>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</si>
  <si>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</si>
  <si>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</si>
  <si>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</si>
  <si>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</si>
  <si>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</si>
  <si>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</si>
  <si>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</si>
  <si>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</si>
  <si>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</si>
  <si>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</si>
  <si>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</si>
  <si>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</si>
  <si>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</si>
  <si>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</si>
  <si>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</si>
  <si>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</si>
  <si>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</si>
  <si>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</si>
  <si>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</si>
  <si>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</si>
  <si>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</si>
  <si>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</si>
  <si>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</si>
  <si>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</si>
  <si>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</si>
  <si>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</si>
  <si>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</si>
  <si>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</si>
  <si>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</si>
  <si>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</si>
  <si>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</si>
  <si>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</si>
  <si>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</si>
  <si>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</si>
  <si>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</si>
  <si>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</si>
  <si>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</si>
  <si>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</si>
  <si>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</si>
  <si>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</si>
  <si>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</si>
  <si>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</si>
  <si>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</si>
  <si>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</si>
  <si>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</si>
  <si>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</si>
  <si>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</si>
  <si>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</si>
  <si>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</si>
  <si>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</si>
  <si>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</si>
  <si>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</si>
  <si>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</si>
  <si>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</si>
  <si>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</si>
  <si>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</si>
  <si>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</si>
  <si>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</si>
  <si>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</si>
  <si>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</si>
  <si>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</si>
  <si>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</si>
  <si>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</si>
  <si>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</si>
  <si>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</si>
  <si>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</si>
  <si>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</si>
  <si>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</si>
  <si>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</si>
  <si>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</si>
  <si>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</si>
  <si>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</si>
  <si>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</si>
  <si>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</si>
  <si>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</si>
  <si>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</si>
  <si>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</si>
  <si>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</si>
  <si>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</si>
  <si>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</si>
  <si>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</si>
  <si>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</si>
  <si>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</si>
  <si>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</si>
  <si>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</si>
  <si>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</si>
  <si>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</si>
  <si>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</si>
  <si>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</si>
  <si>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</si>
  <si>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</si>
  <si>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</si>
  <si>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</si>
  <si>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</si>
  <si>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</si>
  <si>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</si>
  <si>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</si>
  <si>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</si>
  <si>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</si>
  <si>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</si>
  <si>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</si>
  <si>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</si>
  <si>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</si>
  <si>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</si>
  <si>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</si>
  <si>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</si>
  <si>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</si>
  <si>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</si>
  <si>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</si>
  <si>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</si>
  <si>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</si>
  <si>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</si>
  <si>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</si>
  <si>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</si>
  <si>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</si>
  <si>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</si>
  <si>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</si>
  <si>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</si>
  <si>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</si>
  <si>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</si>
  <si>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</si>
  <si>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</si>
  <si>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</si>
  <si>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</si>
  <si>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</si>
  <si>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</si>
  <si>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</si>
  <si>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</si>
  <si>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</si>
  <si>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</si>
  <si>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</si>
  <si>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</si>
  <si>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</si>
  <si>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</si>
  <si>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</si>
  <si>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</si>
  <si>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</si>
  <si>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</si>
  <si>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</si>
  <si>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</si>
  <si>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</si>
  <si>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</si>
  <si>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</si>
  <si>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</si>
  <si>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</si>
  <si>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</si>
  <si>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</si>
  <si>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</si>
  <si>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</si>
  <si>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</si>
  <si>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</si>
  <si>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</si>
  <si>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</si>
  <si>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</si>
  <si>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</si>
  <si>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</si>
  <si>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</si>
  <si>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</si>
  <si>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</si>
  <si>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</si>
  <si>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</si>
  <si>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</si>
  <si>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</si>
  <si>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</si>
  <si>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</si>
  <si>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</si>
  <si>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</si>
  <si>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</si>
  <si>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</si>
  <si>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</si>
  <si>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</si>
  <si>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</si>
  <si>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</si>
  <si>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</si>
  <si>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</si>
  <si>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</si>
  <si>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</si>
  <si>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</si>
  <si>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</si>
  <si>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</si>
  <si>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</si>
  <si>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</si>
  <si>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</si>
  <si>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</si>
  <si>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</si>
  <si>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</si>
  <si>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</si>
  <si>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</si>
  <si>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</si>
  <si>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</si>
  <si>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</si>
  <si>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</si>
  <si>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</si>
  <si>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</si>
  <si>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</si>
  <si>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</si>
  <si>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</si>
  <si>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</si>
  <si>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</si>
  <si>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</si>
  <si>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</si>
  <si>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</si>
  <si>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</si>
  <si>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</si>
  <si>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</si>
  <si>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</si>
  <si>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</si>
  <si>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</si>
  <si>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</si>
  <si>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</si>
  <si>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</si>
  <si>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</si>
  <si>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</si>
  <si>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</si>
  <si>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</si>
  <si>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</si>
  <si>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</si>
  <si>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</si>
  <si>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</si>
  <si>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</si>
  <si>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</si>
  <si>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</si>
  <si>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</si>
  <si>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</si>
  <si>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</si>
  <si>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</si>
  <si>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</si>
  <si>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</si>
  <si>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</si>
  <si>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</si>
  <si>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</si>
  <si>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</si>
  <si>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</si>
  <si>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</si>
  <si>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</si>
  <si>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</si>
  <si>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</si>
  <si>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</si>
  <si>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</si>
  <si>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</si>
  <si>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</si>
  <si>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</si>
  <si>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</si>
  <si>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</si>
  <si>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</si>
  <si>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</si>
  <si>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</si>
  <si>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</si>
  <si>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</si>
  <si>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</si>
  <si>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</si>
  <si>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</si>
  <si>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</si>
  <si>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</si>
  <si>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</si>
  <si>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</si>
  <si>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</si>
  <si>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</si>
  <si>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</si>
  <si>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</si>
  <si>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</si>
  <si>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</si>
  <si>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</si>
  <si>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</si>
  <si>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</si>
  <si>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</si>
  <si>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</si>
  <si>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</si>
  <si>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</si>
  <si>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</si>
  <si>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</si>
  <si>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</si>
  <si>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</si>
  <si>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</si>
  <si>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</si>
  <si>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</si>
  <si>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</si>
  <si>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</si>
  <si>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</si>
  <si>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</si>
  <si>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</si>
  <si>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</si>
  <si>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</si>
  <si>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</si>
  <si>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</si>
  <si>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</si>
  <si>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</si>
  <si>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</si>
  <si>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</si>
  <si>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</si>
  <si>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</si>
  <si>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</si>
  <si>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</si>
  <si>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</si>
  <si>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</si>
  <si>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</si>
  <si>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</si>
  <si>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</si>
  <si>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</si>
  <si>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</si>
  <si>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</si>
  <si>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</si>
  <si>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</si>
  <si>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</si>
  <si>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</si>
  <si>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</si>
  <si>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</si>
  <si>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</si>
  <si>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</si>
  <si>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</si>
  <si>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</si>
  <si>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</si>
  <si>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</si>
  <si>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</si>
  <si>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</si>
  <si>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</si>
  <si>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</si>
  <si>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</si>
  <si>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</si>
  <si>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</si>
  <si>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</si>
  <si>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</si>
  <si>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</si>
  <si>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</si>
  <si>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</si>
  <si>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</si>
  <si>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</si>
  <si>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</si>
  <si>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</si>
  <si>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</si>
  <si>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</si>
  <si>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</si>
  <si>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</si>
  <si>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</si>
  <si>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</si>
  <si>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</si>
  <si>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</si>
  <si>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</si>
  <si>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</si>
  <si>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</si>
  <si>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</si>
  <si>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</si>
  <si>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</si>
  <si>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</si>
  <si>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</si>
  <si>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</si>
  <si>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</si>
  <si>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</si>
  <si>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</si>
  <si>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</si>
  <si>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</si>
  <si>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</si>
  <si>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</si>
  <si>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</si>
  <si>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</si>
  <si>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</si>
  <si>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</si>
  <si>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</si>
  <si>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</si>
  <si>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</si>
  <si>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</si>
  <si>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</si>
  <si>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</si>
  <si>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</si>
  <si>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</si>
  <si>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</si>
  <si>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</si>
  <si>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</si>
  <si>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</si>
  <si>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</si>
  <si>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</si>
  <si>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</si>
  <si>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</si>
  <si>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</si>
  <si>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</si>
  <si>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</si>
  <si>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</si>
  <si>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</si>
  <si>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</si>
  <si>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</si>
  <si>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</si>
  <si>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</si>
  <si>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</si>
  <si>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</si>
  <si>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</si>
  <si>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</si>
  <si>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</si>
  <si>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</si>
  <si>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</si>
  <si>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</si>
  <si>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</si>
  <si>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</si>
  <si>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</si>
  <si>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</si>
  <si>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</si>
  <si>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</si>
  <si>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</si>
  <si>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</si>
  <si>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</si>
  <si>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</si>
  <si>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</si>
  <si>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</si>
  <si>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</si>
  <si>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</si>
  <si>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</si>
  <si>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</si>
  <si>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</si>
  <si>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</si>
  <si>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</si>
  <si>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</si>
  <si>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</si>
  <si>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</si>
  <si>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</si>
  <si>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</si>
  <si>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</si>
  <si>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</si>
  <si>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</si>
  <si>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</si>
  <si>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</si>
  <si>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</si>
  <si>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</si>
  <si>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</si>
  <si>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</si>
  <si>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</si>
  <si>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</si>
  <si>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</si>
  <si>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</si>
  <si>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</si>
  <si>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</si>
  <si>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</si>
  <si>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</si>
  <si>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</si>
  <si>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</si>
  <si>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</si>
  <si>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</si>
  <si>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</si>
  <si>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</si>
  <si>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</si>
  <si>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</si>
  <si>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</si>
  <si>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</si>
  <si>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</si>
  <si>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</si>
  <si>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</si>
  <si>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</si>
  <si>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</si>
  <si>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</si>
  <si>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</si>
  <si>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</si>
  <si>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</si>
  <si>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</si>
  <si>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</si>
  <si>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</si>
  <si>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</si>
  <si>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</si>
  <si>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</si>
  <si>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</si>
  <si>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</si>
  <si>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</si>
  <si>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</si>
  <si>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</si>
  <si>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</si>
  <si>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</si>
  <si>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</si>
  <si>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</si>
  <si>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</si>
  <si>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</si>
  <si>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</si>
  <si>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</si>
  <si>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</si>
  <si>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</si>
  <si>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</si>
  <si>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</si>
  <si>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</si>
  <si>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</si>
  <si>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</si>
  <si>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</si>
  <si>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</si>
  <si>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</si>
  <si>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</si>
  <si>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</si>
  <si>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</si>
  <si>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</si>
  <si>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</si>
  <si>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</si>
  <si>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</si>
  <si>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</si>
  <si>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</si>
  <si>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</si>
  <si>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</si>
  <si>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</si>
  <si>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</si>
  <si>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</si>
  <si>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</si>
  <si>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</si>
  <si>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</si>
  <si>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</si>
  <si>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</si>
  <si>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</si>
  <si>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</si>
  <si>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</si>
  <si>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</si>
  <si>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</si>
  <si>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</si>
  <si>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</si>
  <si>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</si>
  <si>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</si>
  <si>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</si>
  <si>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</si>
  <si>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</si>
  <si>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</si>
  <si>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</si>
  <si>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</si>
  <si>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</si>
  <si>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</si>
  <si>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</si>
  <si>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</si>
  <si>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</si>
  <si>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</si>
  <si>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</si>
  <si>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</si>
  <si>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</si>
  <si>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</si>
  <si>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</si>
  <si>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</si>
  <si>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</si>
  <si>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</si>
  <si>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</si>
  <si>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</si>
  <si>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</si>
  <si>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</si>
  <si>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</si>
  <si>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</si>
  <si>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</si>
  <si>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</si>
  <si>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</si>
  <si>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</si>
  <si>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</si>
  <si>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</si>
  <si>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</si>
  <si>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</si>
  <si>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</si>
  <si>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</si>
  <si>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</si>
  <si>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</si>
  <si>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</si>
  <si>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</si>
  <si>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</si>
  <si>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</si>
  <si>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</si>
  <si>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</si>
  <si>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</si>
  <si>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</si>
  <si>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</si>
  <si>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</si>
  <si>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</si>
  <si>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</si>
  <si>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</si>
  <si>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</si>
  <si>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</si>
  <si>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</si>
  <si>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</si>
  <si>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</si>
  <si>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</si>
  <si>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</si>
  <si>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</si>
  <si>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</si>
  <si>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</si>
  <si>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</si>
  <si>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</si>
  <si>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</si>
  <si>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</si>
  <si>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</si>
  <si>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</si>
  <si>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</si>
  <si>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</si>
  <si>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</si>
  <si>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</si>
  <si>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</si>
  <si>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</si>
  <si>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</si>
  <si>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</si>
  <si>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</si>
  <si>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</si>
  <si>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</si>
  <si>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</si>
  <si>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</si>
  <si>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</si>
  <si>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</si>
  <si>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</si>
  <si>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</si>
  <si>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</si>
  <si>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</si>
  <si>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</si>
  <si>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</si>
  <si>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</si>
  <si>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</si>
  <si>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</si>
  <si>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</si>
  <si>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</si>
  <si>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</si>
  <si>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</si>
  <si>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</si>
  <si>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</si>
  <si>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</si>
  <si>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</si>
  <si>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</si>
  <si>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</si>
  <si>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</si>
  <si>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</si>
  <si>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</si>
  <si>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</si>
  <si>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</si>
  <si>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</si>
  <si>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</si>
  <si>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</si>
  <si>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</si>
  <si>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</si>
  <si>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</si>
  <si>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</si>
  <si>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</si>
  <si>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</si>
  <si>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</si>
  <si>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</si>
  <si>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</si>
  <si>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</si>
  <si>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</si>
  <si>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</si>
  <si>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</si>
  <si>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</si>
  <si>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</si>
  <si>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</si>
  <si>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</si>
  <si>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</si>
  <si>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</si>
  <si>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</si>
  <si>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</si>
  <si>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</si>
  <si>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</si>
  <si>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</si>
  <si>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</si>
  <si>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</si>
  <si>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</si>
  <si>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</si>
  <si>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</si>
  <si>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</si>
  <si>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</si>
  <si>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</si>
  <si>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</si>
  <si>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</si>
  <si>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</si>
  <si>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</si>
  <si>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</si>
  <si>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</si>
  <si>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</si>
  <si>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</si>
  <si>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</si>
  <si>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</si>
  <si>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</si>
  <si>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</si>
  <si>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</si>
  <si>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</si>
  <si>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</si>
  <si>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</si>
  <si>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</si>
  <si>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</si>
  <si>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</si>
  <si>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</si>
  <si>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</si>
  <si>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</si>
  <si>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</si>
  <si>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</si>
  <si>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</si>
  <si>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</si>
  <si>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</si>
  <si>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</si>
  <si>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</si>
  <si>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</si>
  <si>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</si>
  <si>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</si>
  <si>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</si>
  <si>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</si>
  <si>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</si>
  <si>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</si>
  <si>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</si>
  <si>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</si>
  <si>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</si>
  <si>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</si>
  <si>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</si>
  <si>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</si>
  <si>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</si>
  <si>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</si>
  <si>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</si>
  <si>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</si>
  <si>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</si>
  <si>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</si>
  <si>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</si>
  <si>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</si>
  <si>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</si>
  <si>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</si>
  <si>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</si>
  <si>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</si>
  <si>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</si>
  <si>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</si>
  <si>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</si>
  <si>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</si>
  <si>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</si>
  <si>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</si>
  <si>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</si>
  <si>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</si>
  <si>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</si>
  <si>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</si>
  <si>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</si>
  <si>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</si>
  <si>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</si>
  <si>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</si>
  <si>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</si>
  <si>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</si>
  <si>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</si>
  <si>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</si>
  <si>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</si>
  <si>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</si>
  <si>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</si>
  <si>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</si>
  <si>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</si>
  <si>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</si>
  <si>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</si>
  <si>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</si>
  <si>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</si>
  <si>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</si>
  <si>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</si>
  <si>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</si>
  <si>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</si>
  <si>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</si>
  <si>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</si>
  <si>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</si>
  <si>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</si>
  <si>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</si>
  <si>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</si>
  <si>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</si>
  <si>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</si>
  <si>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</si>
  <si>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</si>
  <si>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</si>
  <si>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</si>
  <si>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</si>
  <si>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</si>
  <si>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</si>
  <si>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</si>
  <si>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</si>
  <si>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</si>
  <si>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</si>
  <si>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</si>
  <si>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</si>
  <si>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</si>
  <si>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</si>
  <si>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</si>
  <si>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</si>
  <si>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</si>
  <si>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</si>
  <si>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</si>
  <si>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</si>
  <si>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</si>
  <si>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</si>
  <si>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</si>
  <si>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</si>
  <si>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</si>
  <si>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</si>
  <si>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</si>
  <si>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</si>
  <si>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</si>
  <si>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</si>
  <si>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</si>
  <si>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</si>
  <si>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</si>
  <si>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</si>
  <si>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</si>
  <si>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</si>
  <si>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</si>
  <si>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</si>
  <si>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</si>
  <si>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</si>
  <si>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</si>
  <si>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</si>
  <si>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</si>
  <si>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</si>
  <si>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</si>
  <si>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</si>
  <si>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</si>
  <si>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</si>
  <si>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</si>
  <si>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</si>
  <si>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</si>
  <si>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</si>
  <si>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</si>
  <si>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</si>
  <si>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</si>
  <si>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</si>
  <si>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</si>
  <si>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</si>
  <si>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</si>
  <si>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</si>
  <si>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</si>
  <si>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</si>
  <si>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</si>
  <si>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</si>
  <si>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</si>
  <si>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</si>
  <si>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</si>
  <si>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</si>
  <si>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</si>
  <si>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</si>
  <si>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</si>
  <si>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</si>
  <si>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</si>
  <si>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</si>
  <si>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</si>
  <si>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</si>
  <si>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</si>
  <si>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</si>
  <si>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</si>
  <si>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</si>
  <si>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</si>
  <si>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</si>
  <si>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</si>
  <si>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</si>
  <si>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</si>
  <si>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</si>
  <si>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</si>
  <si>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</si>
  <si>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</si>
  <si>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</si>
  <si>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</si>
  <si>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</si>
  <si>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</si>
  <si>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</si>
  <si>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</si>
  <si>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</si>
  <si>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</si>
  <si>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</si>
  <si>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</si>
  <si>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</si>
  <si>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</si>
  <si>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</si>
  <si>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</si>
  <si>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</si>
  <si>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</si>
  <si>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</si>
  <si>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</si>
  <si>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</si>
  <si>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</si>
  <si>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</si>
  <si>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</si>
  <si>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</si>
  <si>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</si>
  <si>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</si>
  <si>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</si>
  <si>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</si>
  <si>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</si>
  <si>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</si>
  <si>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</si>
  <si>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</si>
  <si>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</si>
  <si>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</si>
  <si>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</si>
  <si>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</si>
  <si>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</si>
  <si>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</si>
  <si>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</si>
  <si>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</si>
  <si>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</si>
  <si>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</si>
  <si>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</si>
  <si>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</si>
  <si>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</si>
  <si>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</si>
  <si>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</si>
  <si>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</si>
  <si>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</si>
  <si>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</si>
  <si>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</si>
  <si>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</si>
  <si>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</si>
  <si>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</si>
  <si>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</si>
  <si>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</si>
  <si>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</si>
  <si>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</si>
  <si>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</si>
  <si>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</si>
  <si>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</si>
  <si>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</si>
  <si>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</si>
  <si>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</si>
  <si>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</si>
  <si>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</si>
  <si>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</si>
  <si>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</si>
  <si>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</si>
  <si>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</si>
  <si>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</si>
  <si>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</si>
  <si>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</si>
  <si>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</si>
  <si>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</si>
  <si>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</si>
  <si>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</si>
  <si>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</si>
  <si>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</si>
  <si>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</si>
  <si>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</si>
  <si>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</si>
  <si>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</si>
  <si>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</si>
  <si>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</si>
  <si>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</si>
  <si>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</si>
  <si>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</si>
  <si>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</si>
  <si>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</si>
  <si>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</si>
  <si>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</si>
  <si>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</si>
  <si>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</si>
  <si>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</si>
  <si>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</si>
  <si>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</si>
  <si>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</si>
  <si>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</si>
  <si>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</si>
  <si>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</si>
  <si>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</si>
  <si>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</si>
  <si>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</si>
  <si>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</si>
  <si>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</si>
  <si>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</si>
  <si>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</si>
  <si>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</si>
  <si>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</si>
  <si>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</si>
  <si>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</si>
  <si>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</si>
  <si>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</si>
  <si>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</si>
  <si>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</si>
  <si>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</si>
  <si>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</si>
  <si>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</si>
  <si>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</si>
  <si>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</si>
  <si>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</si>
  <si>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</si>
  <si>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</si>
  <si>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</si>
  <si>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</si>
  <si>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</si>
  <si>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</si>
  <si>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</si>
  <si>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</si>
  <si>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</si>
  <si>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</si>
  <si>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</si>
  <si>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</si>
  <si>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</si>
  <si>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</si>
  <si>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</si>
  <si>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</si>
  <si>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</si>
  <si>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</si>
  <si>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</si>
  <si>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</si>
  <si>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</si>
  <si>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</si>
  <si>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</si>
  <si>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</si>
  <si>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</si>
  <si>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</si>
  <si>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</si>
  <si>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</si>
  <si>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</si>
  <si>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</si>
  <si>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</si>
  <si>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</si>
  <si>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</si>
  <si>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</si>
  <si>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</si>
  <si>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</si>
  <si>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</si>
  <si>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</si>
  <si>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</si>
  <si>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</si>
  <si>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</si>
  <si>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</si>
  <si>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</si>
  <si>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</si>
  <si>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</si>
  <si>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</si>
  <si>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</si>
  <si>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</si>
  <si>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</si>
  <si>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</si>
  <si>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</si>
  <si>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</si>
  <si>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</si>
  <si>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</si>
  <si>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</si>
  <si>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</si>
  <si>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</si>
  <si>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</si>
  <si>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</si>
  <si>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</si>
  <si>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</si>
  <si>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</si>
  <si>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</si>
  <si>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</si>
  <si>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</si>
  <si>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</si>
  <si>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</si>
  <si>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</si>
  <si>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</si>
  <si>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</si>
  <si>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</si>
  <si>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</si>
  <si>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</si>
  <si>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</si>
  <si>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</si>
  <si>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</si>
  <si>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</si>
  <si>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</si>
  <si>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</si>
  <si>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</si>
  <si>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</si>
  <si>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</si>
  <si>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</si>
  <si>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</si>
  <si>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</si>
  <si>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</si>
  <si>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</si>
  <si>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</si>
  <si>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</si>
  <si>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</si>
  <si>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</si>
  <si>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</si>
  <si>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</si>
  <si>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</si>
  <si>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</si>
  <si>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</si>
  <si>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</si>
  <si>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</si>
  <si>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</si>
  <si>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</si>
  <si>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</si>
  <si>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</si>
  <si>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</si>
  <si>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</si>
  <si>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</si>
  <si>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</si>
  <si>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</si>
  <si>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</si>
  <si>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</si>
  <si>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</si>
  <si>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</si>
  <si>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</si>
  <si>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</si>
  <si>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</si>
  <si>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</si>
  <si>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</si>
  <si>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</si>
  <si>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</si>
  <si>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</si>
  <si>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</si>
  <si>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</si>
  <si>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</si>
  <si>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</si>
  <si>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</si>
  <si>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</si>
  <si>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</si>
  <si>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</si>
  <si>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</si>
  <si>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</si>
  <si>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</si>
  <si>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</si>
  <si>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</si>
  <si>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</si>
  <si>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</si>
  <si>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</si>
  <si>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</si>
  <si>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</si>
  <si>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</si>
  <si>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</si>
  <si>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</si>
  <si>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</si>
  <si>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</si>
  <si>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</si>
  <si>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</si>
  <si>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</si>
  <si>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</si>
  <si>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</si>
  <si>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</si>
  <si>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</si>
  <si>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</si>
  <si>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</si>
  <si>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</si>
  <si>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</si>
  <si>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</si>
  <si>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</si>
  <si>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</si>
  <si>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</si>
  <si>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</si>
  <si>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</si>
  <si>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</si>
  <si>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</si>
  <si>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</si>
  <si>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</si>
  <si>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</si>
  <si>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</si>
  <si>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</si>
  <si>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</si>
  <si>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</si>
  <si>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</si>
  <si>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</si>
  <si>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</si>
  <si>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</si>
  <si>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</si>
  <si>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</si>
  <si>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</si>
  <si>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</si>
  <si>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</si>
  <si>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</si>
  <si>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</si>
  <si>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</si>
  <si>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</si>
  <si>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</si>
  <si>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</si>
  <si>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</si>
  <si>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</si>
  <si>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</si>
  <si>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</si>
  <si>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</si>
  <si>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</si>
  <si>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</si>
  <si>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</si>
  <si>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</si>
  <si>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</si>
  <si>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</si>
  <si>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</si>
  <si>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</si>
  <si>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</si>
  <si>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</si>
  <si>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</si>
  <si>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</si>
  <si>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</si>
  <si>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</si>
  <si>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</si>
  <si>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</si>
  <si>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</si>
  <si>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</si>
  <si>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</si>
  <si>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</si>
  <si>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</si>
  <si>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</si>
  <si>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</si>
  <si>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</si>
  <si>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</si>
  <si>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</si>
  <si>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</si>
  <si>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</si>
  <si>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</si>
  <si>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</si>
  <si>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</si>
  <si>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</si>
  <si>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</si>
  <si>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</si>
  <si>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</si>
  <si>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</si>
  <si>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</si>
  <si>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</si>
  <si>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</si>
  <si>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</si>
  <si>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</si>
  <si>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</si>
  <si>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</si>
  <si>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</si>
  <si>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</si>
  <si>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</si>
  <si>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</si>
  <si>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</si>
  <si>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</si>
  <si>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</si>
  <si>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</si>
  <si>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</si>
  <si>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</si>
  <si>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</si>
  <si>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</si>
  <si>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</si>
  <si>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</si>
  <si>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</si>
  <si>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</si>
  <si>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</si>
  <si>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</si>
  <si>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</si>
  <si>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</si>
  <si>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</si>
  <si>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</si>
  <si>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</si>
  <si>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</si>
  <si>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</si>
  <si>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</si>
  <si>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</si>
  <si>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</si>
  <si>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</si>
  <si>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</si>
  <si>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</si>
  <si>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</si>
  <si>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</si>
  <si>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</si>
  <si>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</si>
  <si>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</si>
  <si>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</si>
  <si>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</si>
  <si>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</si>
  <si>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</si>
  <si>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</si>
  <si>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</si>
  <si>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</si>
  <si>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</si>
  <si>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</si>
  <si>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</si>
  <si>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</si>
  <si>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</si>
  <si>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</si>
  <si>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</si>
  <si>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</si>
  <si>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</si>
  <si>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</si>
  <si>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</si>
  <si>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</si>
  <si>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</si>
  <si>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</si>
  <si>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</si>
  <si>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</si>
  <si>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</si>
  <si>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</si>
  <si>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</si>
  <si>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</si>
  <si>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</si>
  <si>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</si>
  <si>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</si>
  <si>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</si>
  <si>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</si>
  <si>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</si>
  <si>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</si>
  <si>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</si>
  <si>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</si>
  <si>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</si>
  <si>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</si>
  <si>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</si>
  <si>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</si>
  <si>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</si>
  <si>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</si>
  <si>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</si>
  <si>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</si>
  <si>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</si>
  <si>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</si>
  <si>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</si>
  <si>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</si>
  <si>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</si>
  <si>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</si>
  <si>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</si>
  <si>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</si>
  <si>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</si>
  <si>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</si>
  <si>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</si>
  <si>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</si>
  <si>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</si>
  <si>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</si>
  <si>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</si>
  <si>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</si>
  <si>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</si>
  <si>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</si>
  <si>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</si>
  <si>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</si>
  <si>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</si>
  <si>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</si>
  <si>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</si>
  <si>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</si>
  <si>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</si>
  <si>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</si>
  <si>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</si>
  <si>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</si>
  <si>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</si>
  <si>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</si>
  <si>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</si>
  <si>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</si>
  <si>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</si>
  <si>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</si>
  <si>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</si>
  <si>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</si>
  <si>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</si>
  <si>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</si>
  <si>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</si>
  <si>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</si>
  <si>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</si>
  <si>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</si>
  <si>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</si>
  <si>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</si>
  <si>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</si>
  <si>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</si>
  <si>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</si>
  <si>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</si>
  <si>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</si>
  <si>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</si>
  <si>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</si>
  <si>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</si>
  <si>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</si>
  <si>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</si>
  <si>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</si>
  <si>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</si>
  <si>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</si>
  <si>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</si>
  <si>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</si>
  <si>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</si>
  <si>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</si>
  <si>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</si>
  <si>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</si>
  <si>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</si>
  <si>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</si>
  <si>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</si>
  <si>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</si>
  <si>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</si>
  <si>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</si>
  <si>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</si>
  <si>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</si>
  <si>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</si>
  <si>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</si>
  <si>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</si>
  <si>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</si>
  <si>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</si>
  <si>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</si>
  <si>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</si>
  <si>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</si>
  <si>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</si>
  <si>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</si>
  <si>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</si>
  <si>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</si>
  <si>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</si>
  <si>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</si>
  <si>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</si>
  <si>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</si>
  <si>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</si>
  <si>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</si>
  <si>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</si>
  <si>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</si>
  <si>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</si>
  <si>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</si>
  <si>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</si>
  <si>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</si>
  <si>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</si>
  <si>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</si>
  <si>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</si>
  <si>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</si>
  <si>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</si>
  <si>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</si>
  <si>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</si>
  <si>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</si>
  <si>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</si>
  <si>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</si>
  <si>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</si>
  <si>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</si>
  <si>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</si>
  <si>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</si>
  <si>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</si>
  <si>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</si>
  <si>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</si>
  <si>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</si>
  <si>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</si>
  <si>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</si>
  <si>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</si>
  <si>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</si>
  <si>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</si>
  <si>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</si>
  <si>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</si>
  <si>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</si>
  <si>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</si>
  <si>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</si>
  <si>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</si>
  <si>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</si>
  <si>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</si>
  <si>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</si>
  <si>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</si>
  <si>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</si>
  <si>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</si>
  <si>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</si>
  <si>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</si>
  <si>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</si>
  <si>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</si>
  <si>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</si>
  <si>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</si>
  <si>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</si>
  <si>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</si>
  <si>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</si>
  <si>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</si>
  <si>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</si>
  <si>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</si>
  <si>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</si>
  <si>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</si>
  <si>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</si>
  <si>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</si>
  <si>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</si>
  <si>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</si>
  <si>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</si>
  <si>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</si>
  <si>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</si>
  <si>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</si>
  <si>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</si>
  <si>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</si>
  <si>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</si>
  <si>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</si>
  <si>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</si>
  <si>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</si>
  <si>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</si>
  <si>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</si>
  <si>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</si>
  <si>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</si>
  <si>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</si>
  <si>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</si>
  <si>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</si>
  <si>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</si>
  <si>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</si>
  <si>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</si>
  <si>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</si>
  <si>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</si>
  <si>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</si>
  <si>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</si>
  <si>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</si>
  <si>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</si>
  <si>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</si>
  <si>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</si>
  <si>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</si>
  <si>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</si>
  <si>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</si>
  <si>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</si>
  <si>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</si>
  <si>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</si>
  <si>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</si>
  <si>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</si>
  <si>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</si>
  <si>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</si>
  <si>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</si>
  <si>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</si>
  <si>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</si>
  <si>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</si>
  <si>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</si>
  <si>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</si>
  <si>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</si>
  <si>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</si>
  <si>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</si>
  <si>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</si>
  <si>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</si>
  <si>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</si>
  <si>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</si>
  <si>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</si>
  <si>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</si>
  <si>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</si>
  <si>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</si>
  <si>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</si>
  <si>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</si>
  <si>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</si>
  <si>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</si>
  <si>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</si>
  <si>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</si>
  <si>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</si>
  <si>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</si>
  <si>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</si>
  <si>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</si>
  <si>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</si>
  <si>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</si>
  <si>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</si>
  <si>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</si>
  <si>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</si>
  <si>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</si>
  <si>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</si>
  <si>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</si>
  <si>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</si>
  <si>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</si>
  <si>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</si>
  <si>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</si>
  <si>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</si>
  <si>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</si>
  <si>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</si>
  <si>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</si>
  <si>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</si>
  <si>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</si>
  <si>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</si>
  <si>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</si>
  <si>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</si>
  <si>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</si>
  <si>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</si>
  <si>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</si>
  <si>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</si>
  <si>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</si>
  <si>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</si>
  <si>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</si>
  <si>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</si>
  <si>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</si>
  <si>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</si>
  <si>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</si>
  <si>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</si>
  <si>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</si>
  <si>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</si>
  <si>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</si>
  <si>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</si>
  <si>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</si>
  <si>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</si>
  <si>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</si>
  <si>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</si>
  <si>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</si>
  <si>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</si>
  <si>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</si>
  <si>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</si>
  <si>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</si>
  <si>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</si>
  <si>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</si>
  <si>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</si>
  <si>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</si>
  <si>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</si>
  <si>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</si>
  <si>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</si>
  <si>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</si>
  <si>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</si>
  <si>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</si>
  <si>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</si>
  <si>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</si>
  <si>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</si>
  <si>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</si>
  <si>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</si>
  <si>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</si>
  <si>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</si>
  <si>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</si>
  <si>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</si>
  <si>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</si>
  <si>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</si>
  <si>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</si>
  <si>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</si>
  <si>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</si>
  <si>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</si>
  <si>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</si>
  <si>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</si>
  <si>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</si>
  <si>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</si>
  <si>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</si>
  <si>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</si>
  <si>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</si>
  <si>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</si>
  <si>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</si>
  <si>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</si>
  <si>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</si>
  <si>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</si>
  <si>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</si>
  <si>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</si>
  <si>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</si>
  <si>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</si>
  <si>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</si>
  <si>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</si>
  <si>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</si>
  <si>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</si>
  <si>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</si>
  <si>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</si>
  <si>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</si>
  <si>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</si>
  <si>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</si>
  <si>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</si>
  <si>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</si>
  <si>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</si>
  <si>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</si>
  <si>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</si>
  <si>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</si>
  <si>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</si>
  <si>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</si>
  <si>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</si>
  <si>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</si>
  <si>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</si>
  <si>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</si>
  <si>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</si>
  <si>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</si>
  <si>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</si>
  <si>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</si>
  <si>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</si>
  <si>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</si>
  <si>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</si>
  <si>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</si>
  <si>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</si>
  <si>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</si>
  <si>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</si>
  <si>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</si>
  <si>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</si>
  <si>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</si>
  <si>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</si>
  <si>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</si>
  <si>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</si>
  <si>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</si>
  <si>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</si>
  <si>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</si>
  <si>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</si>
  <si>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</si>
  <si>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</si>
  <si>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</si>
  <si>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</si>
  <si>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</si>
  <si>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</si>
  <si>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</si>
  <si>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</si>
  <si>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</si>
  <si>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</si>
  <si>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</si>
  <si>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</si>
  <si>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</si>
  <si>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</si>
  <si>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</si>
  <si>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</si>
  <si>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</si>
  <si>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</si>
  <si>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</si>
  <si>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</si>
  <si>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</si>
  <si>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</si>
  <si>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</si>
  <si>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</si>
  <si>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</si>
  <si>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</si>
  <si>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</si>
  <si>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</si>
  <si>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</si>
  <si>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</si>
  <si>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</si>
  <si>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</si>
  <si>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</si>
  <si>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</si>
  <si>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</si>
  <si>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</si>
  <si>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</si>
  <si>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</si>
  <si>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</si>
  <si>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</si>
  <si>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</si>
  <si>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</si>
  <si>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</si>
  <si>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</si>
  <si>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</si>
  <si>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</si>
  <si>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</si>
  <si>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</si>
  <si>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</si>
  <si>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</si>
  <si>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</si>
  <si>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</si>
  <si>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</si>
  <si>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</si>
  <si>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</si>
  <si>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</si>
  <si>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</si>
  <si>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</si>
  <si>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</si>
  <si>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</si>
  <si>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</si>
  <si>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</si>
  <si>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</si>
  <si>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</si>
  <si>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</si>
  <si>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</si>
  <si>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</si>
  <si>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</si>
  <si>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</si>
  <si>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</si>
  <si>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</si>
  <si>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</si>
  <si>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</si>
  <si>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</si>
  <si>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</si>
  <si>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</si>
  <si>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</si>
  <si>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</si>
  <si>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</si>
  <si>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</si>
  <si>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</si>
  <si>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</si>
  <si>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</si>
  <si>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</si>
  <si>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</si>
  <si>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</si>
  <si>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</si>
  <si>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</si>
  <si>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</si>
  <si>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</si>
  <si>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</si>
  <si>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</si>
  <si>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</si>
  <si>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</si>
  <si>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</si>
  <si>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</si>
  <si>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</si>
  <si>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</si>
  <si>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</si>
  <si>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</si>
  <si>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</si>
  <si>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</si>
  <si>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</si>
  <si>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</si>
  <si>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</si>
  <si>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</si>
  <si>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</si>
  <si>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</si>
  <si>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</si>
  <si>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</si>
  <si>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</si>
  <si>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</si>
  <si>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</si>
  <si>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</si>
  <si>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</si>
  <si>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</si>
  <si>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</si>
  <si>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</si>
  <si>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</si>
  <si>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</si>
  <si>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</si>
  <si>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</si>
  <si>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</si>
  <si>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</si>
  <si>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</si>
  <si>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</si>
  <si>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</si>
  <si>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</si>
  <si>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</si>
  <si>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</si>
  <si>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</si>
  <si>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</si>
  <si>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</si>
  <si>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</si>
  <si>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</si>
  <si>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</si>
  <si>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</si>
  <si>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</si>
  <si>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</si>
  <si>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</si>
  <si>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</si>
  <si>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</si>
  <si>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</si>
  <si>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</si>
  <si>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</si>
  <si>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</si>
  <si>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</si>
  <si>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</si>
  <si>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</si>
  <si>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</si>
  <si>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</si>
  <si>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</si>
  <si>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</si>
  <si>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</si>
  <si>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</si>
  <si>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</si>
  <si>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</si>
  <si>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</si>
  <si>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</si>
  <si>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</si>
  <si>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</si>
  <si>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</si>
  <si>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</si>
  <si>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</si>
  <si>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</si>
  <si>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</si>
  <si>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</si>
  <si>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</si>
  <si>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</si>
  <si>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</si>
  <si>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</si>
  <si>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</si>
  <si>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</si>
  <si>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</si>
  <si>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</si>
  <si>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</si>
  <si>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</si>
  <si>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</si>
  <si>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</si>
  <si>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</si>
  <si>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</si>
  <si>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</si>
  <si>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</si>
  <si>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</si>
  <si>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</si>
  <si>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</si>
  <si>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</si>
  <si>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</si>
  <si>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</si>
  <si>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</si>
  <si>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</si>
  <si>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</si>
  <si>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</si>
  <si>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</si>
  <si>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</si>
  <si>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</si>
  <si>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</si>
  <si>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</si>
  <si>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</si>
  <si>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</si>
  <si>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</si>
  <si>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</si>
  <si>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</si>
  <si>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</si>
  <si>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</si>
  <si>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</si>
  <si>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</si>
  <si>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</si>
  <si>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</si>
  <si>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</si>
  <si>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</si>
  <si>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</si>
  <si>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</si>
  <si>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</si>
  <si>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</si>
  <si>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</si>
  <si>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</si>
  <si>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</si>
  <si>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</si>
  <si>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</si>
  <si>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</si>
  <si>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</si>
  <si>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</si>
  <si>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</si>
  <si>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</si>
  <si>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</si>
  <si>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</si>
  <si>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</si>
  <si>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</si>
  <si>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</si>
  <si>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</si>
  <si>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</si>
  <si>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</si>
  <si>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</si>
  <si>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</si>
  <si>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</si>
  <si>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</si>
  <si>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</si>
  <si>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</si>
  <si>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</si>
  <si>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</si>
  <si>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</si>
  <si>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</si>
  <si>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</si>
  <si>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</si>
  <si>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</si>
  <si>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</si>
  <si>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</si>
  <si>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</si>
  <si>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</si>
  <si>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</si>
  <si>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</si>
  <si>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</si>
  <si>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</si>
  <si>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</si>
  <si>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</si>
  <si>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</si>
  <si>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</si>
  <si>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</si>
  <si>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</si>
  <si>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</si>
  <si>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</si>
  <si>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</si>
  <si>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</si>
  <si>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</si>
  <si>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</si>
  <si>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</si>
  <si>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</si>
  <si>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</si>
  <si>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</si>
  <si>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</si>
  <si>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</si>
  <si>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</si>
  <si>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</si>
  <si>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</si>
  <si>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</si>
  <si>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</si>
  <si>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</si>
  <si>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</si>
  <si>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</si>
  <si>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</si>
  <si>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</si>
  <si>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</si>
  <si>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</si>
  <si>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</si>
  <si>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</si>
  <si>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</si>
  <si>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</si>
  <si>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</si>
  <si>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</si>
  <si>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</si>
  <si>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</si>
  <si>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</si>
  <si>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</si>
  <si>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</si>
  <si>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</si>
  <si>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</si>
  <si>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</si>
  <si>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</si>
  <si>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</si>
  <si>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</si>
  <si>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</si>
  <si>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</si>
  <si>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</si>
  <si>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</si>
  <si>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</si>
  <si>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</si>
  <si>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</si>
  <si>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</si>
  <si>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</si>
  <si>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</si>
  <si>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</si>
  <si>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</si>
  <si>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</si>
  <si>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</si>
  <si>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</si>
  <si>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</si>
  <si>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</si>
  <si>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</si>
  <si>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</si>
  <si>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</si>
  <si>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</si>
  <si>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</si>
  <si>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</si>
  <si>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</si>
  <si>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</si>
  <si>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</si>
  <si>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</si>
  <si>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</si>
  <si>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</si>
  <si>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</si>
  <si>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</si>
  <si>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</si>
  <si>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</si>
  <si>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</si>
  <si>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</si>
  <si>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</si>
  <si>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</si>
  <si>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</si>
  <si>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</si>
  <si>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</si>
  <si>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</si>
  <si>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</si>
  <si>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</si>
  <si>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</si>
  <si>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</si>
  <si>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</si>
  <si>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</si>
  <si>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</si>
  <si>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</si>
  <si>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</si>
  <si>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</si>
  <si>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</si>
  <si>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</si>
  <si>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</si>
  <si>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</si>
  <si>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</si>
  <si>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</si>
  <si>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</si>
  <si>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</si>
  <si>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</si>
  <si>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</si>
  <si>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</si>
  <si>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</si>
  <si>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</si>
  <si>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</si>
  <si>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</si>
  <si>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</si>
  <si>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</si>
  <si>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</si>
  <si>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</si>
  <si>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</si>
  <si>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</si>
  <si>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</si>
  <si>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</si>
  <si>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</si>
  <si>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</si>
  <si>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</si>
  <si>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</si>
  <si>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</si>
  <si>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</si>
  <si>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</si>
  <si>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</si>
  <si>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</si>
  <si>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</si>
  <si>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</si>
  <si>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</si>
  <si>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</si>
  <si>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</si>
  <si>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</si>
  <si>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</si>
  <si>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</si>
  <si>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</si>
  <si>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</si>
  <si>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</si>
  <si>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</si>
  <si>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</si>
  <si>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</si>
  <si>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</si>
  <si>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</si>
  <si>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</si>
  <si>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</si>
  <si>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</si>
  <si>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</si>
  <si>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</si>
  <si>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</si>
  <si>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</si>
  <si>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</si>
  <si>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</si>
  <si>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</si>
  <si>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</si>
  <si>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</si>
  <si>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</si>
  <si>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</si>
  <si>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</si>
  <si>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</si>
  <si>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</si>
  <si>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</si>
  <si>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</si>
  <si>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</si>
  <si>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</si>
  <si>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</si>
  <si>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</si>
  <si>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</si>
  <si>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</si>
  <si>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</si>
  <si>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</si>
  <si>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</si>
  <si>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</si>
  <si>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</si>
  <si>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</si>
  <si>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</si>
  <si>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</si>
  <si>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</si>
  <si>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</si>
  <si>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</si>
  <si>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</si>
  <si>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</si>
  <si>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</si>
  <si>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</si>
  <si>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</si>
  <si>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</si>
  <si>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</si>
  <si>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</si>
  <si>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</si>
  <si>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</si>
  <si>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</si>
  <si>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</si>
  <si>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</si>
  <si>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</si>
  <si>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</si>
  <si>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</si>
  <si>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</si>
  <si>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</si>
  <si>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</si>
  <si>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</si>
  <si>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</si>
  <si>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</si>
  <si>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</si>
  <si>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</si>
  <si>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</si>
  <si>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</si>
  <si>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</si>
  <si>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</si>
  <si>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</si>
  <si>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</si>
  <si>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</si>
  <si>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</si>
  <si>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</si>
  <si>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</si>
  <si>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</si>
  <si>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</si>
  <si>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</si>
  <si>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</si>
  <si>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</si>
  <si>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</si>
  <si>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</si>
  <si>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</si>
  <si>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</si>
  <si>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</si>
  <si>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</si>
  <si>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</si>
  <si>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</si>
  <si>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</si>
  <si>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</si>
  <si>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</si>
  <si>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</si>
  <si>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</si>
  <si>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</si>
  <si>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</si>
  <si>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</si>
  <si>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</si>
  <si>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</si>
  <si>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</si>
  <si>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</si>
  <si>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</si>
  <si>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</si>
  <si>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</si>
  <si>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</si>
  <si>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</si>
  <si>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</si>
  <si>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</si>
  <si>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</si>
  <si>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</si>
  <si>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</si>
  <si>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</si>
  <si>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</si>
  <si>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</si>
  <si>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</si>
  <si>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</si>
  <si>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</si>
  <si>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</si>
  <si>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</si>
  <si>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</si>
  <si>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</si>
  <si>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</si>
  <si>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</si>
  <si>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</si>
  <si>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</si>
  <si>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</si>
  <si>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</si>
  <si>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</si>
  <si>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</si>
  <si>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</si>
  <si>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</si>
  <si>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</si>
  <si>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</si>
  <si>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</si>
  <si>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</si>
  <si>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</si>
  <si>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</si>
  <si>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</si>
  <si>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</si>
  <si>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</si>
  <si>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</si>
  <si>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</si>
  <si>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</si>
  <si>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</si>
  <si>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</si>
  <si>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</si>
  <si>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</si>
  <si>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</si>
  <si>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</si>
  <si>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</si>
  <si>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</si>
  <si>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</si>
  <si>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</si>
  <si>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</si>
  <si>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</si>
  <si>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</si>
  <si>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</si>
  <si>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</si>
  <si>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</si>
  <si>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</si>
  <si>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</si>
  <si>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</si>
  <si>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</si>
  <si>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</si>
  <si>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</si>
  <si>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</si>
  <si>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</si>
  <si>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</si>
  <si>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</si>
  <si>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</si>
  <si>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</si>
  <si>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</si>
  <si>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</si>
  <si>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</si>
  <si>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</si>
  <si>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</si>
  <si>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</si>
  <si>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</si>
  <si>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</si>
  <si>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</si>
  <si>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</si>
  <si>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</si>
  <si>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</si>
  <si>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</si>
  <si>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</si>
  <si>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</si>
  <si>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</si>
  <si>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</si>
  <si>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</si>
  <si>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</si>
  <si>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</si>
  <si>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</si>
  <si>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</si>
  <si>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</si>
  <si>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</si>
  <si>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</si>
  <si>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</si>
  <si>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</si>
  <si>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</si>
  <si>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</si>
  <si>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</si>
  <si>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</si>
  <si>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</si>
  <si>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</si>
  <si>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</si>
  <si>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</si>
  <si>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</si>
  <si>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</si>
  <si>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</si>
  <si>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</si>
  <si>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</si>
  <si>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</si>
  <si>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</si>
  <si>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</si>
  <si>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</si>
  <si>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</si>
  <si>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</si>
  <si>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</si>
  <si>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</si>
  <si>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</si>
  <si>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</si>
  <si>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</si>
  <si>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</si>
  <si>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</si>
  <si>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</si>
  <si>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</si>
  <si>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</si>
  <si>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</si>
  <si>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</si>
  <si>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</si>
  <si>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</si>
  <si>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</si>
  <si>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</si>
  <si>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</si>
  <si>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</si>
  <si>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</si>
  <si>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</si>
  <si>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</si>
  <si>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</si>
  <si>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</si>
  <si>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</si>
  <si>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</si>
  <si>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</si>
  <si>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</si>
  <si>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</si>
  <si>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</si>
  <si>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</si>
  <si>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</si>
  <si>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</si>
  <si>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</si>
  <si>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</si>
  <si>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</si>
  <si>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</si>
  <si>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</si>
  <si>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</si>
  <si>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</si>
  <si>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</si>
  <si>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</si>
  <si>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</si>
  <si>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</si>
  <si>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</si>
  <si>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</si>
  <si>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</si>
  <si>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</si>
  <si>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</si>
  <si>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</si>
  <si>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</si>
  <si>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</si>
  <si>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</si>
  <si>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</si>
  <si>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</si>
  <si>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</si>
  <si>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</si>
  <si>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</si>
  <si>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</si>
  <si>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</si>
  <si>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</si>
  <si>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</si>
  <si>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</si>
  <si>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</si>
  <si>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</si>
  <si>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</si>
  <si>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</si>
  <si>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</si>
  <si>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</si>
  <si>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</si>
  <si>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</si>
  <si>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</si>
  <si>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</si>
  <si>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</si>
  <si>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</si>
  <si>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</si>
  <si>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</si>
  <si>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</si>
  <si>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</si>
  <si>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</si>
  <si>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</si>
  <si>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</si>
  <si>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</si>
  <si>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</si>
  <si>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</si>
  <si>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</si>
  <si>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</si>
  <si>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</si>
  <si>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</si>
  <si>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</si>
  <si>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</si>
  <si>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</si>
  <si>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</si>
  <si>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</si>
  <si>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</si>
  <si>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</si>
  <si>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</si>
  <si>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</si>
  <si>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</si>
  <si>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</si>
  <si>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</si>
  <si>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</si>
  <si>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</si>
  <si>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</si>
  <si>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</si>
  <si>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</si>
  <si>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</si>
  <si>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</si>
  <si>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</si>
  <si>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</si>
  <si>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</si>
  <si>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</si>
  <si>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</si>
  <si>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</si>
  <si>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</si>
  <si>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</si>
  <si>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</si>
  <si>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</si>
  <si>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</si>
  <si>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</si>
  <si>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</si>
  <si>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</si>
  <si>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</si>
  <si>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</si>
  <si>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</si>
  <si>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</si>
  <si>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</si>
  <si>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</si>
  <si>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</si>
  <si>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</si>
  <si>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</si>
  <si>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</si>
  <si>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</si>
  <si>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</si>
  <si>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</si>
  <si>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</si>
  <si>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</si>
  <si>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</si>
  <si>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</si>
  <si>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</si>
  <si>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</si>
  <si>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</si>
  <si>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</si>
  <si>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</si>
  <si>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</si>
  <si>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</si>
  <si>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</si>
  <si>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</si>
  <si>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</si>
  <si>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</si>
  <si>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</si>
  <si>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</si>
  <si>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</si>
  <si>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</si>
  <si>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</si>
  <si>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</si>
  <si>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</si>
  <si>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</si>
  <si>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</si>
  <si>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</si>
  <si>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</si>
  <si>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</si>
  <si>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</si>
  <si>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</si>
  <si>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</si>
  <si>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</si>
  <si>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</si>
  <si>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</si>
  <si>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</si>
  <si>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</si>
  <si>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</si>
  <si>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</si>
  <si>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</si>
  <si>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</si>
  <si>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</si>
  <si>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</si>
  <si>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</si>
  <si>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</si>
  <si>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</si>
  <si>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</si>
  <si>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</si>
  <si>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</si>
  <si>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</si>
  <si>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</si>
  <si>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</si>
  <si>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</si>
  <si>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</si>
  <si>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</si>
  <si>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</si>
  <si>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</si>
  <si>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</si>
  <si>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</si>
  <si>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</si>
  <si>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</si>
  <si>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</si>
  <si>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</si>
  <si>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</si>
  <si>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</si>
  <si>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</si>
  <si>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</si>
  <si>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</si>
  <si>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</si>
  <si>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</si>
  <si>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</si>
  <si>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</si>
  <si>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</si>
  <si>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</si>
  <si>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</si>
  <si>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</si>
  <si>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</si>
  <si>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</si>
  <si>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</si>
  <si>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</si>
  <si>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</si>
  <si>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</si>
  <si>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</si>
  <si>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</si>
  <si>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</si>
  <si>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</si>
  <si>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</si>
  <si>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</si>
  <si>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</si>
  <si>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</si>
  <si>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</si>
  <si>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</si>
  <si>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</si>
  <si>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</si>
  <si>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</si>
  <si>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</si>
  <si>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</si>
  <si>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</si>
  <si>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</si>
  <si>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</si>
  <si>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</si>
  <si>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</si>
  <si>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</si>
  <si>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</si>
  <si>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</si>
  <si>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</si>
  <si>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</si>
  <si>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</si>
  <si>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</si>
  <si>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</si>
  <si>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</si>
  <si>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</si>
  <si>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</si>
  <si>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</si>
  <si>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</si>
  <si>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</si>
  <si>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</si>
  <si>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</si>
  <si>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</si>
  <si>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</si>
  <si>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</si>
  <si>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</si>
  <si>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</si>
  <si>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</si>
  <si>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</si>
  <si>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</si>
  <si>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</si>
  <si>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</si>
  <si>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</si>
  <si>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</si>
  <si>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</si>
  <si>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</si>
  <si>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</si>
  <si>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</si>
  <si>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</si>
  <si>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</si>
  <si>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</si>
  <si>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</si>
  <si>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</si>
  <si>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</si>
  <si>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</si>
  <si>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</si>
  <si>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</si>
  <si>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</si>
  <si>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</si>
  <si>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</si>
  <si>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</si>
  <si>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</si>
  <si>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</si>
  <si>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</si>
  <si>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</si>
  <si>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</si>
  <si>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</si>
  <si>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</si>
  <si>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</si>
  <si>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</si>
  <si>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</si>
  <si>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</si>
  <si>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</si>
  <si>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</si>
  <si>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</si>
  <si>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</si>
  <si>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</si>
  <si>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</si>
  <si>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</si>
  <si>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</si>
  <si>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</si>
  <si>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</si>
  <si>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</si>
  <si>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</si>
  <si>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</si>
  <si>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</si>
  <si>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</si>
  <si>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</si>
  <si>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</si>
  <si>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</si>
  <si>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</si>
  <si>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</si>
  <si>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</si>
  <si>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</si>
  <si>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</si>
  <si>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</si>
  <si>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</si>
  <si>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</si>
  <si>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</si>
  <si>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</si>
  <si>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</si>
  <si>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</si>
  <si>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</si>
  <si>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</si>
  <si>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</si>
  <si>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</si>
  <si>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</si>
  <si>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</si>
  <si>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</si>
  <si>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</si>
  <si>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</si>
  <si>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</si>
  <si>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</si>
  <si>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</si>
  <si>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</si>
  <si>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</si>
  <si>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</si>
  <si>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</si>
  <si>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</si>
  <si>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</si>
  <si>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</si>
  <si>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</si>
  <si>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</si>
  <si>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</si>
  <si>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</si>
  <si>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</si>
  <si>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</si>
  <si>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</si>
  <si>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</si>
  <si>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</si>
  <si>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</si>
  <si>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</si>
  <si>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</si>
  <si>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</si>
  <si>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</si>
  <si>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</si>
  <si>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</si>
  <si>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</si>
  <si>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</si>
  <si>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</si>
  <si>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</si>
  <si>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</si>
  <si>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</si>
  <si>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</si>
  <si>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</si>
  <si>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</si>
  <si>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</si>
  <si>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</si>
  <si>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</si>
  <si>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</si>
  <si>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</si>
  <si>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</si>
  <si>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</si>
  <si>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</si>
  <si>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</si>
  <si>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</si>
  <si>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</si>
  <si>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</si>
  <si>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</si>
  <si>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</si>
  <si>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</si>
  <si>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</si>
  <si>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</si>
  <si>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</si>
  <si>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</si>
  <si>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</si>
  <si>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</si>
  <si>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</si>
  <si>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</si>
  <si>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</si>
  <si>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</si>
  <si>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</si>
  <si>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</si>
  <si>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</si>
  <si>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</si>
  <si>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</si>
  <si>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</si>
  <si>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</si>
  <si>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</si>
  <si>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</si>
  <si>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</si>
  <si>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</si>
  <si>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</si>
  <si>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</si>
  <si>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</si>
  <si>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</si>
  <si>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</si>
  <si>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</si>
  <si>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</si>
  <si>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</si>
  <si>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</si>
  <si>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</si>
  <si>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</si>
  <si>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</si>
  <si>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</si>
  <si>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</si>
  <si>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</si>
  <si>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</si>
  <si>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</si>
  <si>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</si>
  <si>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</si>
  <si>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</si>
  <si>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</si>
  <si>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</si>
  <si>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</si>
  <si>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</si>
  <si>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</si>
  <si>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</si>
  <si>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</si>
  <si>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</si>
  <si>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</si>
  <si>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</si>
  <si>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</si>
  <si>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</si>
  <si>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</si>
  <si>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</si>
  <si>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</si>
  <si>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</si>
  <si>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</si>
  <si>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</si>
  <si>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</si>
  <si>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</si>
  <si>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</si>
  <si>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</si>
  <si>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</si>
  <si>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</si>
  <si>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</si>
  <si>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</si>
  <si>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</si>
  <si>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</si>
  <si>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</si>
  <si>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</si>
  <si>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</si>
  <si>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</si>
  <si>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</si>
  <si>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</si>
  <si>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</si>
  <si>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</si>
  <si>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</si>
  <si>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</si>
  <si>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</si>
  <si>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</si>
  <si>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</si>
  <si>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</si>
  <si>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</si>
  <si>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</si>
  <si>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</si>
  <si>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</si>
  <si>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</si>
  <si>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</si>
  <si>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</si>
  <si>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</si>
  <si>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</si>
  <si>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</si>
  <si>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</si>
  <si>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</si>
  <si>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</si>
  <si>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</si>
  <si>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</si>
  <si>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</si>
  <si>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</si>
  <si>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</si>
  <si>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</si>
  <si>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</si>
  <si>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</si>
  <si>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</si>
  <si>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</si>
  <si>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</si>
  <si>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</si>
  <si>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</si>
  <si>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</si>
  <si>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</si>
  <si>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</si>
  <si>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</si>
  <si>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</si>
  <si>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</si>
  <si>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</si>
  <si>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</si>
  <si>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</si>
  <si>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</si>
  <si>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</si>
  <si>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</si>
  <si>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</si>
  <si>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</si>
  <si>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</si>
  <si>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</si>
  <si>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</si>
  <si>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</si>
  <si>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</si>
  <si>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</si>
  <si>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</si>
  <si>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</si>
  <si>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</si>
  <si>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</si>
  <si>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</si>
  <si>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</si>
  <si>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</si>
  <si>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</si>
  <si>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</si>
  <si>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</si>
  <si>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</si>
  <si>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</si>
  <si>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</si>
  <si>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</si>
  <si>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</si>
  <si>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</si>
  <si>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</si>
  <si>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</si>
  <si>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</si>
  <si>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</si>
  <si>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</si>
  <si>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</si>
  <si>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</si>
  <si>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</si>
  <si>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</si>
  <si>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</si>
  <si>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</si>
  <si>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</si>
  <si>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</si>
  <si>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</si>
  <si>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</si>
  <si>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</si>
  <si>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</si>
  <si>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</si>
  <si>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</si>
  <si>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</si>
  <si>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</si>
  <si>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</si>
  <si>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</si>
  <si>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</si>
  <si>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</si>
  <si>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</si>
  <si>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</si>
  <si>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</si>
  <si>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</si>
  <si>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</si>
  <si>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</si>
  <si>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</si>
  <si>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</si>
  <si>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</si>
  <si>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</si>
  <si>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</si>
  <si>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</si>
  <si>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</si>
  <si>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</si>
  <si>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</si>
  <si>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</si>
  <si>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</si>
  <si>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</si>
  <si>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</si>
  <si>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</si>
  <si>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</si>
  <si>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</si>
  <si>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</si>
  <si>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</si>
  <si>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</si>
  <si>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</si>
  <si>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</si>
  <si>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</si>
  <si>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</si>
  <si>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</si>
  <si>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</si>
  <si>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</si>
  <si>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</si>
  <si>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</si>
  <si>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</si>
  <si>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</si>
  <si>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</si>
  <si>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</si>
  <si>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</si>
  <si>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</si>
  <si>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</si>
  <si>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</si>
  <si>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</si>
  <si>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</si>
  <si>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</si>
  <si>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</si>
  <si>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</si>
  <si>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</si>
  <si>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</si>
  <si>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</si>
  <si>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</si>
  <si>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</si>
  <si>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</si>
  <si>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</si>
  <si>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</si>
  <si>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</si>
  <si>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</si>
  <si>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</si>
  <si>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</si>
  <si>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</si>
  <si>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</si>
  <si>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</si>
  <si>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</si>
  <si>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</si>
  <si>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</si>
  <si>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</si>
  <si>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</si>
  <si>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</si>
  <si>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</si>
  <si>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</si>
  <si>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</si>
  <si>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</si>
  <si>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</si>
  <si>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</si>
  <si>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</si>
  <si>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</si>
  <si>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</si>
  <si>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</si>
  <si>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</si>
  <si>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</si>
  <si>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</si>
  <si>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</si>
  <si>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</si>
  <si>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</si>
  <si>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</si>
  <si>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</si>
  <si>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</si>
  <si>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</si>
  <si>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</si>
  <si>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</si>
  <si>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</si>
  <si>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</si>
  <si>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</si>
  <si>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</si>
  <si>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</si>
  <si>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</si>
  <si>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</si>
  <si>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</si>
  <si>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</si>
  <si>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</si>
  <si>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</si>
  <si>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</si>
  <si>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</si>
  <si>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</si>
  <si>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</si>
  <si>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</si>
  <si>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</si>
  <si>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</si>
  <si>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</si>
  <si>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</si>
  <si>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</si>
  <si>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</si>
  <si>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</si>
  <si>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</si>
  <si>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</si>
  <si>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</si>
  <si>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</si>
  <si>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</si>
  <si>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</si>
  <si>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</si>
  <si>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</si>
  <si>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</si>
  <si>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</si>
  <si>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</si>
  <si>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</si>
  <si>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</si>
  <si>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</si>
  <si>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</si>
  <si>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</si>
  <si>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</si>
  <si>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</si>
  <si>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</si>
  <si>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</si>
  <si>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</si>
  <si>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</si>
  <si>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</si>
  <si>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</si>
  <si>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</si>
  <si>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</si>
  <si>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</si>
  <si>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</si>
  <si>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</si>
  <si>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</si>
  <si>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</si>
  <si>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</si>
  <si>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</si>
  <si>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</si>
  <si>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</si>
  <si>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</si>
  <si>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</si>
  <si>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</si>
  <si>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</si>
  <si>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</si>
  <si>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</si>
  <si>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</si>
  <si>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</si>
  <si>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</si>
  <si>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</si>
  <si>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</si>
  <si>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</si>
  <si>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</si>
  <si>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</si>
  <si>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</si>
  <si>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</si>
  <si>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</si>
  <si>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</si>
  <si>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</si>
  <si>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</si>
  <si>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</si>
  <si>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</si>
  <si>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</si>
  <si>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</si>
  <si>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</si>
  <si>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</si>
  <si>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</si>
  <si>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</si>
  <si>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</si>
  <si>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</si>
  <si>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</si>
  <si>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</si>
  <si>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</si>
  <si>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</si>
  <si>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</si>
  <si>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</si>
  <si>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</si>
  <si>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</si>
  <si>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</si>
  <si>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</si>
  <si>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</si>
  <si>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</si>
  <si>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</si>
  <si>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</si>
  <si>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</si>
  <si>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</si>
  <si>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</si>
  <si>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</si>
  <si>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</si>
  <si>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</si>
  <si>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</si>
  <si>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</si>
  <si>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</si>
  <si>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</si>
  <si>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</si>
  <si>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</si>
  <si>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</si>
  <si>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</si>
  <si>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</si>
  <si>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</si>
  <si>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</si>
  <si>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</si>
  <si>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</si>
  <si>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</si>
  <si>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</si>
  <si>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</si>
  <si>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</si>
  <si>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</si>
  <si>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</si>
  <si>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</si>
  <si>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</si>
  <si>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</si>
  <si>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</si>
  <si>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</si>
  <si>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</si>
  <si>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</si>
  <si>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</si>
  <si>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</si>
  <si>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</si>
  <si>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</si>
  <si>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</si>
  <si>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</si>
  <si>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</si>
  <si>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</si>
  <si>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</si>
  <si>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</si>
  <si>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</si>
  <si>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</si>
  <si>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</si>
  <si>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</si>
  <si>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</si>
  <si>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</si>
  <si>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</si>
  <si>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</si>
  <si>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</si>
  <si>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</si>
  <si>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</si>
  <si>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</si>
  <si>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</si>
  <si>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</si>
  <si>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</si>
  <si>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</si>
  <si>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</si>
  <si>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</si>
  <si>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</si>
  <si>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</si>
  <si>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</si>
  <si>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</si>
  <si>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</si>
  <si>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</si>
  <si>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</si>
  <si>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</si>
  <si>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</si>
  <si>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</si>
  <si>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</si>
  <si>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</si>
  <si>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</si>
  <si>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</si>
  <si>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</si>
  <si>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</si>
  <si>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</si>
  <si>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</si>
  <si>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</si>
  <si>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</si>
  <si>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</si>
  <si>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</si>
  <si>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</si>
  <si>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</si>
  <si>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</si>
  <si>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</si>
  <si>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</si>
  <si>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</si>
  <si>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</si>
  <si>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</si>
  <si>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</si>
  <si>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</si>
  <si>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</si>
  <si>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</si>
  <si>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</si>
  <si>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</si>
  <si>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</si>
  <si>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</si>
  <si>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</si>
  <si>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</si>
  <si>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</si>
  <si>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</si>
  <si>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</si>
  <si>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</si>
  <si>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</si>
  <si>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</si>
  <si>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</si>
  <si>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</si>
  <si>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</si>
  <si>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</si>
  <si>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</si>
  <si>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</si>
  <si>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</si>
  <si>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</si>
  <si>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</si>
  <si>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</si>
  <si>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</si>
  <si>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</si>
  <si>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</si>
  <si>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</si>
  <si>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</si>
  <si>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</si>
  <si>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</si>
  <si>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</si>
  <si>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</si>
  <si>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</si>
  <si>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</si>
  <si>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</si>
  <si>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</si>
  <si>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</si>
  <si>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</si>
  <si>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</si>
  <si>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</si>
  <si>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</si>
  <si>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</si>
  <si>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</si>
  <si>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</si>
  <si>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</si>
  <si>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</si>
  <si>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</si>
  <si>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</si>
  <si>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</si>
  <si>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</si>
  <si>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</si>
  <si>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</si>
  <si>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</si>
  <si>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</si>
  <si>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</si>
  <si>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</si>
  <si>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</si>
  <si>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</si>
  <si>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</si>
  <si>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</si>
  <si>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</si>
  <si>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</si>
  <si>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</si>
  <si>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</si>
  <si>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</si>
  <si>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</si>
  <si>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</si>
  <si>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</si>
  <si>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</si>
  <si>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</si>
  <si>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</si>
  <si>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</si>
  <si>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</si>
  <si>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</si>
  <si>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</si>
  <si>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</si>
  <si>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</si>
  <si>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</si>
  <si>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</si>
  <si>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</si>
  <si>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</si>
  <si>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</si>
  <si>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</si>
  <si>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</si>
  <si>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</si>
  <si>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</si>
  <si>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</si>
  <si>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</si>
  <si>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</si>
  <si>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</si>
  <si>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</si>
  <si>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</si>
  <si>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</si>
  <si>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</si>
  <si>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</si>
  <si>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</si>
  <si>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</si>
  <si>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</si>
  <si>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</si>
  <si>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</si>
  <si>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</si>
  <si>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</si>
  <si>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</si>
  <si>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</si>
  <si>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</si>
  <si>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</si>
  <si>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</si>
  <si>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</si>
  <si>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</si>
  <si>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</si>
  <si>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</si>
  <si>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</si>
  <si>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</si>
  <si>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</si>
  <si>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</si>
  <si>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</si>
  <si>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</si>
  <si>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</si>
  <si>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</si>
  <si>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</si>
  <si>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</si>
  <si>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</si>
  <si>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</si>
  <si>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</si>
  <si>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</si>
  <si>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</si>
  <si>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</si>
  <si>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</si>
  <si>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</si>
  <si>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</si>
  <si>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</si>
  <si>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</si>
  <si>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</si>
  <si>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</si>
  <si>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</si>
  <si>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</si>
  <si>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</si>
  <si>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</si>
  <si>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</si>
  <si>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</si>
  <si>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</si>
  <si>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</si>
  <si>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</si>
  <si>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</si>
  <si>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</si>
  <si>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</si>
  <si>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</si>
  <si>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</si>
  <si>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</si>
  <si>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</si>
  <si>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</si>
  <si>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</si>
  <si>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</si>
  <si>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</si>
  <si>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</si>
  <si>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</si>
  <si>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</si>
  <si>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</si>
  <si>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</si>
  <si>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</si>
  <si>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</si>
  <si>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</si>
  <si>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</si>
  <si>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</si>
  <si>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</si>
  <si>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</si>
  <si>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</si>
  <si>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</si>
  <si>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</si>
  <si>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</si>
  <si>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</si>
  <si>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</si>
  <si>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</si>
  <si>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</si>
  <si>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</si>
  <si>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</si>
  <si>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</si>
  <si>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</si>
  <si>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</si>
  <si>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</si>
  <si>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</si>
  <si>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</si>
  <si>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</si>
  <si>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</si>
  <si>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</si>
  <si>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</si>
  <si>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</si>
  <si>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</si>
  <si>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</si>
  <si>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</si>
  <si>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</si>
  <si>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</si>
  <si>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</si>
  <si>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</si>
  <si>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</si>
  <si>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</si>
  <si>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</si>
  <si>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</si>
  <si>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</si>
  <si>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</si>
  <si>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</si>
  <si>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</si>
  <si>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</si>
  <si>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</si>
  <si>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</si>
  <si>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</si>
  <si>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</si>
  <si>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</si>
  <si>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</si>
  <si>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</si>
  <si>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</si>
  <si>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</si>
  <si>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</si>
  <si>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</si>
  <si>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</si>
  <si>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</si>
  <si>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</si>
  <si>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</si>
  <si>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</si>
  <si>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</si>
  <si>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</si>
  <si>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</si>
  <si>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</si>
  <si>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</si>
  <si>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</si>
  <si>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</si>
  <si>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</si>
  <si>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</si>
  <si>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</si>
  <si>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</si>
  <si>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</si>
  <si>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</si>
  <si>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</si>
  <si>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</si>
  <si>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</si>
  <si>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</si>
  <si>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</si>
  <si>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</si>
  <si>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</si>
  <si>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</si>
  <si>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</si>
  <si>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</si>
  <si>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</si>
  <si>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</si>
  <si>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</si>
  <si>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</si>
  <si>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</si>
  <si>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</si>
  <si>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</si>
  <si>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</si>
  <si>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</si>
  <si>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</si>
  <si>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</si>
  <si>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</si>
  <si>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</si>
  <si>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</si>
  <si>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</si>
  <si>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</si>
  <si>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</si>
  <si>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</si>
  <si>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</si>
  <si>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</si>
  <si>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</si>
  <si>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</si>
  <si>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</si>
  <si>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</si>
  <si>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</si>
  <si>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</si>
  <si>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</si>
  <si>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</si>
  <si>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</si>
  <si>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</si>
  <si>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</si>
  <si>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</si>
  <si>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</si>
  <si>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</si>
  <si>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</si>
  <si>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</si>
  <si>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</si>
  <si>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</si>
  <si>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</si>
  <si>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</si>
  <si>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</si>
  <si>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</si>
  <si>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</si>
  <si>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</si>
  <si>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</si>
  <si>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</si>
  <si>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</si>
  <si>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</si>
  <si>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</si>
  <si>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</si>
  <si>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</si>
  <si>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</si>
  <si>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</si>
  <si>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</si>
  <si>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</si>
  <si>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</si>
  <si>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</si>
  <si>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</si>
  <si>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</si>
  <si>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</si>
  <si>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</si>
  <si>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</si>
  <si>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</si>
  <si>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</si>
  <si>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</si>
  <si>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</si>
  <si>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</si>
  <si>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</si>
  <si>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</si>
  <si>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</si>
  <si>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</si>
  <si>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</si>
  <si>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</si>
  <si>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</si>
  <si>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</si>
  <si>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</si>
  <si>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</si>
  <si>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</si>
  <si>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</si>
  <si>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</si>
  <si>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</si>
  <si>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</si>
  <si>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</si>
  <si>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</si>
  <si>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</si>
  <si>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</si>
  <si>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</si>
  <si>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</si>
  <si>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</si>
  <si>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</si>
  <si>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</si>
  <si>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</si>
  <si>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</si>
  <si>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</si>
  <si>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</si>
  <si>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</si>
  <si>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</si>
  <si>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</si>
  <si>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</si>
  <si>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</si>
  <si>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</si>
  <si>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</si>
  <si>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</si>
  <si>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</si>
  <si>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</si>
  <si>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</si>
  <si>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</si>
  <si>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</si>
  <si>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</si>
  <si>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</si>
  <si>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</si>
  <si>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</si>
  <si>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</si>
  <si>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</si>
  <si>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</si>
  <si>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</si>
  <si>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</si>
  <si>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</si>
  <si>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</si>
  <si>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</si>
  <si>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</si>
  <si>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</si>
  <si>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</si>
  <si>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</si>
  <si>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</si>
  <si>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</si>
  <si>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</si>
  <si>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</si>
  <si>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</si>
  <si>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</si>
  <si>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</si>
  <si>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</si>
  <si>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</si>
  <si>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</si>
  <si>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</si>
  <si>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</si>
  <si>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</si>
  <si>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</si>
  <si>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</si>
  <si>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</si>
  <si>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</si>
  <si>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</si>
  <si>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</si>
  <si>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</si>
  <si>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</si>
  <si>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</si>
  <si>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</si>
  <si>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</si>
  <si>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</si>
  <si>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</si>
  <si>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</si>
  <si>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</si>
  <si>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</si>
  <si>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</si>
  <si>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</si>
  <si>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</si>
  <si>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</si>
  <si>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</si>
  <si>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</si>
  <si>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</si>
  <si>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</si>
  <si>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</si>
  <si>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</si>
  <si>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</si>
  <si>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</si>
  <si>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</si>
  <si>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</si>
  <si>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</si>
  <si>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</si>
  <si>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</si>
  <si>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</si>
  <si>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</si>
  <si>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</si>
  <si>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</si>
  <si>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</si>
  <si>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</si>
  <si>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</si>
  <si>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</si>
  <si>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</si>
  <si>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</si>
  <si>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</si>
  <si>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</si>
  <si>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</si>
  <si>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</si>
  <si>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</si>
  <si>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</si>
  <si>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</si>
  <si>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</si>
  <si>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</si>
  <si>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</si>
  <si>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</si>
  <si>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</si>
  <si>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</si>
  <si>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</si>
  <si>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</si>
  <si>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</si>
  <si>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</si>
  <si>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</si>
  <si>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</si>
  <si>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</si>
  <si>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</si>
  <si>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</si>
  <si>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</si>
  <si>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</si>
  <si>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</si>
  <si>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</si>
  <si>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</si>
  <si>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</si>
  <si>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</si>
  <si>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</si>
  <si>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</si>
  <si>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</si>
  <si>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</si>
  <si>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</si>
  <si>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</si>
  <si>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</si>
  <si>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</si>
  <si>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</si>
  <si>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</si>
  <si>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</si>
  <si>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</si>
  <si>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</si>
  <si>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</si>
  <si>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</si>
  <si>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</si>
  <si>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</si>
  <si>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</si>
  <si>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</si>
  <si>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</si>
  <si>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</si>
  <si>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</si>
  <si>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</si>
  <si>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</si>
  <si>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</si>
  <si>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</si>
  <si>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</si>
  <si>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</si>
  <si>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</si>
  <si>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</si>
  <si>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</si>
  <si>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</si>
  <si>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</si>
  <si>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</si>
  <si>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</si>
  <si>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</si>
  <si>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</si>
  <si>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</si>
  <si>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</si>
  <si>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</si>
  <si>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</si>
  <si>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</si>
  <si>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</si>
  <si>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</si>
  <si>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</si>
  <si>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</si>
  <si>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</si>
  <si>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</si>
  <si>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</si>
  <si>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</si>
  <si>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</si>
  <si>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</si>
  <si>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</si>
  <si>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</si>
  <si>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</si>
  <si>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</si>
  <si>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</si>
  <si>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</si>
  <si>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</si>
  <si>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</si>
  <si>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</si>
  <si>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</si>
  <si>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</si>
  <si>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</si>
  <si>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</si>
  <si>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</si>
  <si>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</si>
  <si>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</si>
  <si>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</si>
  <si>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</si>
  <si>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</si>
  <si>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</si>
  <si>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</si>
  <si>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</si>
  <si>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</si>
  <si>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</si>
  <si>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</si>
  <si>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</si>
  <si>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</si>
  <si>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</si>
  <si>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</si>
  <si>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</si>
  <si>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</si>
  <si>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</si>
  <si>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</si>
  <si>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</si>
  <si>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</si>
  <si>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</si>
  <si>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</si>
  <si>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</si>
  <si>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</si>
  <si>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</si>
  <si>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</si>
  <si>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</si>
  <si>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</si>
  <si>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</si>
  <si>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</si>
  <si>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</si>
  <si>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</si>
  <si>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</si>
  <si>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</si>
  <si>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</si>
  <si>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</si>
  <si>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</si>
  <si>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</si>
  <si>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</si>
  <si>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</si>
  <si>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</si>
  <si>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</si>
  <si>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</si>
  <si>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</si>
  <si>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</si>
  <si>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</si>
  <si>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</si>
  <si>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</si>
  <si>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</si>
  <si>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</si>
  <si>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</si>
  <si>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</si>
  <si>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</si>
  <si>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</si>
  <si>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</si>
  <si>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</si>
  <si>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</si>
  <si>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</si>
  <si>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</si>
  <si>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</si>
  <si>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</si>
  <si>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</si>
  <si>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</si>
  <si>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</si>
  <si>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</si>
  <si>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</si>
  <si>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</si>
  <si>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</si>
  <si>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</si>
  <si>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</si>
  <si>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</si>
  <si>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</si>
  <si>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</si>
  <si>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</si>
  <si>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</si>
  <si>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</si>
  <si>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</si>
  <si>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</si>
  <si>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</si>
  <si>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</si>
  <si>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</si>
  <si>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</si>
  <si>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</si>
  <si>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</si>
  <si>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</si>
  <si>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</si>
  <si>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</si>
  <si>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</si>
  <si>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</si>
  <si>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</si>
  <si>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</si>
  <si>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</si>
  <si>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</si>
  <si>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</si>
  <si>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</si>
  <si>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</si>
  <si>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</si>
  <si>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</si>
  <si>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</si>
  <si>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</si>
  <si>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</si>
  <si>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</si>
  <si>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</si>
  <si>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</si>
  <si>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</si>
  <si>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</si>
  <si>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</si>
  <si>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</si>
  <si>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</si>
  <si>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</si>
  <si>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</si>
  <si>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</si>
  <si>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</si>
  <si>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</si>
  <si>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</si>
  <si>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</si>
  <si>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</si>
  <si>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</si>
  <si>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</si>
  <si>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</si>
  <si>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</si>
  <si>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</si>
  <si>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</si>
  <si>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</si>
  <si>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</si>
  <si>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</si>
  <si>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</si>
  <si>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</si>
  <si>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</si>
  <si>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</si>
  <si>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</si>
  <si>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</si>
  <si>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</si>
  <si>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</si>
  <si>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</si>
  <si>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</si>
  <si>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</si>
  <si>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</si>
  <si>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</si>
  <si>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</si>
  <si>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</si>
  <si>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</si>
  <si>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</si>
  <si>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</si>
  <si>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</si>
  <si>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</si>
  <si>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</si>
  <si>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</si>
  <si>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</si>
  <si>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</si>
  <si>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</si>
  <si>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</si>
  <si>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</si>
  <si>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</si>
  <si>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</si>
  <si>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</si>
  <si>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</si>
  <si>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</si>
  <si>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</si>
  <si>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</si>
  <si>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</si>
  <si>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</si>
  <si>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</si>
  <si>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</si>
  <si>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</si>
  <si>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</si>
  <si>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</si>
  <si>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</si>
  <si>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</si>
  <si>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</si>
  <si>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</si>
  <si>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</si>
  <si>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</si>
  <si>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</si>
  <si>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</si>
  <si>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</si>
  <si>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</si>
  <si>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</si>
  <si>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</si>
  <si>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</si>
  <si>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</si>
  <si>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</si>
  <si>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</si>
  <si>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</si>
  <si>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</si>
  <si>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</si>
  <si>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</si>
  <si>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</si>
  <si>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</si>
  <si>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</si>
  <si>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</si>
  <si>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</si>
  <si>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</si>
  <si>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</si>
  <si>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</si>
  <si>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</si>
  <si>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</si>
  <si>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</si>
  <si>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</si>
  <si>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</si>
  <si>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</si>
  <si>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</si>
  <si>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</si>
  <si>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</si>
  <si>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</si>
  <si>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</si>
  <si>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</si>
  <si>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</si>
  <si>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</si>
  <si>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</si>
  <si>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</si>
  <si>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</si>
  <si>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</si>
  <si>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</si>
  <si>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</si>
  <si>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</si>
  <si>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</si>
  <si>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</si>
  <si>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</si>
  <si>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</si>
  <si>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</si>
  <si>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</si>
  <si>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</si>
  <si>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</si>
  <si>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</si>
  <si>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</si>
  <si>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</si>
  <si>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</si>
  <si>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</si>
  <si>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</si>
  <si>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</si>
  <si>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</si>
  <si>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</si>
  <si>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</si>
  <si>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</si>
  <si>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</si>
  <si>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</si>
  <si>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</si>
  <si>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</si>
  <si>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</si>
  <si>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</si>
  <si>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</si>
  <si>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</si>
  <si>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</si>
  <si>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</si>
  <si>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</si>
  <si>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</si>
  <si>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</si>
  <si>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</si>
  <si>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</si>
  <si>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</si>
  <si>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</si>
  <si>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</si>
  <si>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</si>
  <si>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</si>
  <si>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</si>
  <si>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</si>
  <si>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</si>
  <si>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</si>
  <si>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</si>
  <si>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</si>
  <si>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</si>
  <si>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</si>
  <si>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</si>
  <si>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</si>
  <si>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</si>
  <si>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</si>
  <si>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</si>
  <si>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</si>
  <si>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</si>
  <si>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</si>
  <si>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</si>
  <si>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</si>
  <si>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</si>
  <si>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</si>
  <si>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</si>
  <si>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</si>
  <si>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</si>
  <si>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</si>
  <si>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</si>
  <si>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</si>
  <si>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</si>
  <si>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</si>
  <si>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</si>
  <si>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</si>
  <si>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</si>
  <si>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</si>
  <si>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</si>
  <si>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</si>
  <si>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</si>
  <si>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</si>
  <si>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</si>
  <si>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</si>
  <si>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</si>
  <si>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</si>
  <si>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</si>
  <si>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</si>
  <si>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</si>
  <si>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</si>
  <si>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</si>
  <si>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</si>
  <si>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</si>
  <si>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</si>
  <si>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</si>
  <si>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</si>
  <si>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</si>
  <si>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</si>
  <si>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</si>
  <si>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</si>
  <si>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</si>
  <si>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</si>
  <si>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</si>
  <si>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</si>
  <si>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</si>
  <si>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</si>
  <si>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</si>
  <si>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</si>
  <si>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</si>
  <si>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</si>
  <si>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</si>
  <si>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</si>
  <si>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</si>
  <si>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</si>
  <si>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</si>
  <si>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</si>
  <si>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</si>
  <si>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</si>
  <si>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</si>
  <si>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</si>
  <si>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</si>
  <si>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</si>
  <si>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</si>
  <si>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</si>
  <si>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</si>
  <si>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</si>
  <si>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</si>
  <si>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</si>
  <si>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</si>
  <si>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</si>
  <si>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</si>
  <si>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</si>
  <si>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</si>
  <si>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</si>
  <si>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</si>
  <si>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</si>
  <si>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</si>
  <si>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</si>
  <si>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</si>
  <si>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</si>
  <si>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</si>
  <si>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</si>
  <si>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</si>
  <si>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</si>
  <si>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</si>
  <si>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</si>
  <si>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</si>
  <si>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</si>
  <si>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</si>
  <si>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</si>
  <si>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</si>
  <si>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</si>
  <si>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</si>
  <si>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</si>
  <si>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</si>
  <si>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</si>
  <si>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</si>
  <si>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</si>
  <si>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</si>
  <si>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</si>
  <si>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</si>
  <si>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</si>
  <si>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</si>
  <si>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</si>
  <si>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</si>
  <si>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</si>
  <si>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</si>
  <si>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</si>
  <si>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</si>
  <si>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</si>
  <si>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</si>
  <si>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</si>
  <si>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</si>
  <si>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</si>
  <si>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</si>
  <si>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</si>
  <si>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</si>
  <si>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</si>
  <si>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</si>
  <si>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</si>
  <si>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</si>
  <si>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</si>
  <si>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</si>
  <si>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</si>
  <si>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</si>
  <si>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</si>
  <si>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</si>
  <si>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</si>
  <si>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</si>
  <si>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</si>
  <si>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</si>
  <si>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</si>
  <si>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</si>
  <si>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</si>
  <si>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</si>
  <si>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</si>
  <si>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</si>
  <si>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</si>
  <si>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</si>
  <si>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</si>
  <si>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</si>
  <si>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</si>
  <si>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</si>
  <si>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</si>
  <si>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</si>
  <si>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</si>
  <si>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</si>
  <si>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</si>
  <si>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</si>
  <si>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</si>
  <si>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</si>
  <si>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</si>
  <si>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</si>
  <si>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</si>
  <si>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</si>
  <si>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</si>
  <si>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</si>
  <si>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</si>
  <si>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</si>
  <si>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</si>
  <si>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</si>
  <si>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</si>
  <si>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</si>
  <si>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</si>
  <si>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</si>
  <si>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</si>
  <si>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</si>
  <si>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</si>
  <si>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</si>
  <si>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</si>
  <si>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</si>
  <si>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</si>
  <si>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</si>
  <si>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</si>
  <si>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</si>
  <si>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</si>
  <si>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</si>
  <si>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</si>
  <si>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</si>
  <si>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</si>
  <si>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</si>
  <si>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</si>
  <si>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</si>
  <si>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</si>
  <si>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</si>
  <si>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</si>
  <si>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</si>
  <si>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</si>
  <si>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</si>
  <si>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</si>
  <si>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</si>
  <si>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</si>
  <si>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</si>
  <si>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</si>
  <si>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</si>
  <si>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</si>
  <si>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</si>
  <si>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</si>
  <si>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</si>
  <si>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</si>
  <si>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</si>
  <si>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</si>
  <si>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</si>
  <si>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</si>
  <si>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</si>
  <si>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</si>
  <si>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</si>
  <si>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</si>
  <si>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</si>
  <si>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</si>
  <si>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</si>
  <si>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</si>
  <si>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</si>
  <si>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</si>
  <si>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</si>
  <si>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</si>
  <si>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</si>
  <si>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</si>
  <si>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</si>
  <si>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</si>
  <si>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</si>
  <si>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</si>
  <si>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</si>
  <si>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</si>
  <si>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</si>
  <si>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</si>
  <si>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</si>
  <si>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</si>
  <si>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</si>
  <si>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</si>
  <si>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</si>
  <si>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</si>
  <si>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</si>
  <si>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</si>
  <si>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</si>
  <si>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</si>
  <si>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</si>
  <si>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</si>
  <si>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</si>
  <si>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</si>
  <si>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</si>
  <si>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</si>
  <si>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</si>
  <si>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</si>
  <si>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</si>
  <si>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</si>
  <si>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</si>
  <si>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</si>
  <si>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</si>
  <si>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</si>
  <si>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</si>
  <si>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</si>
  <si>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</si>
  <si>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</si>
  <si>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</si>
  <si>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</si>
  <si>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</si>
  <si>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</si>
  <si>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</si>
  <si>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</si>
  <si>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</si>
  <si>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</si>
  <si>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</si>
  <si>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</si>
  <si>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</si>
  <si>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</si>
  <si>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</si>
  <si>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</si>
  <si>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</si>
  <si>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</si>
  <si>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</si>
  <si>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</si>
  <si>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</si>
  <si>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</si>
  <si>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</si>
  <si>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</si>
  <si>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</si>
  <si>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</si>
  <si>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</si>
  <si>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</si>
  <si>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</si>
  <si>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</si>
  <si>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</si>
  <si>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</si>
  <si>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</si>
  <si>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</si>
  <si>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</si>
  <si>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</si>
  <si>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</si>
  <si>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</si>
  <si>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</si>
  <si>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</si>
  <si>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</si>
  <si>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</si>
  <si>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</si>
  <si>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</si>
  <si>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</si>
  <si>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</si>
  <si>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</si>
  <si>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</si>
  <si>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</si>
  <si>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</si>
  <si>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</si>
  <si>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</si>
  <si>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</si>
  <si>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</si>
  <si>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</si>
  <si>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</si>
  <si>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</si>
  <si>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</si>
  <si>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</si>
  <si>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</si>
  <si>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</si>
  <si>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</si>
  <si>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</si>
  <si>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</si>
  <si>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</si>
  <si>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</si>
  <si>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</si>
  <si>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</si>
  <si>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</si>
  <si>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</si>
  <si>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</si>
  <si>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</si>
  <si>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</si>
  <si>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</si>
  <si>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</si>
  <si>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</si>
  <si>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</si>
  <si>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</si>
  <si>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</si>
  <si>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</si>
  <si>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</si>
  <si>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</si>
  <si>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</si>
  <si>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</si>
  <si>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</si>
  <si>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</si>
  <si>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</si>
  <si>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</si>
  <si>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</si>
  <si>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</si>
  <si>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</si>
  <si>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</si>
  <si>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</si>
  <si>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</si>
  <si>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</si>
  <si>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</si>
  <si>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</si>
  <si>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</si>
  <si>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</si>
  <si>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</si>
  <si>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</si>
  <si>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</si>
  <si>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</si>
  <si>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</si>
  <si>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</si>
  <si>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</si>
  <si>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</si>
  <si>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</si>
  <si>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</si>
  <si>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</si>
  <si>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</si>
  <si>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</si>
  <si>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</si>
  <si>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</si>
  <si>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</si>
  <si>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</si>
  <si>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</si>
  <si>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</si>
  <si>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</si>
  <si>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</si>
  <si>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</si>
  <si>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</si>
  <si>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</si>
  <si>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</si>
  <si>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</si>
  <si>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</si>
  <si>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</si>
  <si>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</si>
  <si>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</si>
  <si>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</si>
  <si>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</si>
  <si>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</si>
  <si>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</si>
  <si>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</si>
  <si>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</si>
  <si>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</si>
  <si>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</si>
  <si>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</si>
  <si>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</si>
  <si>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</si>
  <si>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</si>
  <si>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</si>
  <si>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</si>
  <si>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</si>
  <si>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</si>
  <si>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</si>
  <si>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</si>
  <si>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</si>
  <si>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</si>
  <si>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</si>
  <si>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</si>
  <si>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</si>
  <si>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</si>
  <si>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</si>
  <si>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</si>
  <si>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</si>
  <si>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</si>
  <si>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</si>
  <si>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</si>
  <si>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</si>
  <si>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</si>
  <si>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</si>
  <si>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</si>
  <si>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</si>
  <si>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</si>
  <si>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</si>
  <si>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</si>
  <si>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</si>
  <si>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</si>
  <si>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</si>
  <si>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</si>
  <si>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</si>
  <si>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</si>
  <si>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</si>
  <si>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</si>
  <si>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</si>
  <si>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</si>
  <si>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</si>
  <si>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</si>
  <si>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</si>
  <si>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</si>
  <si>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</si>
  <si>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</si>
  <si>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</si>
  <si>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</si>
  <si>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</si>
  <si>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</si>
  <si>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</si>
  <si>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</si>
  <si>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</si>
  <si>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</si>
  <si>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</si>
  <si>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</si>
  <si>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</si>
  <si>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</si>
  <si>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</si>
  <si>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</si>
  <si>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</si>
  <si>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</si>
  <si>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</si>
  <si>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</si>
  <si>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</si>
  <si>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</si>
  <si>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</si>
  <si>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</si>
  <si>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</si>
  <si>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</si>
  <si>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</si>
  <si>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</si>
  <si>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</si>
  <si>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</si>
  <si>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</si>
  <si>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</si>
  <si>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</si>
  <si>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</si>
  <si>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</si>
  <si>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</si>
  <si>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</si>
  <si>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</si>
  <si>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</si>
  <si>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</si>
  <si>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</si>
  <si>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</si>
  <si>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</si>
  <si>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</si>
  <si>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</si>
  <si>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</si>
  <si>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</si>
  <si>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</si>
  <si>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</si>
  <si>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</si>
  <si>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</si>
  <si>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</si>
  <si>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</si>
  <si>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</si>
  <si>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</si>
  <si>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</si>
  <si>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</si>
  <si>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</si>
  <si>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</si>
  <si>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</si>
  <si>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</si>
  <si>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</si>
  <si>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</si>
  <si>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</si>
  <si>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</si>
  <si>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</si>
  <si>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</si>
  <si>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</si>
  <si>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</si>
  <si>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</si>
  <si>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</si>
  <si>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</si>
  <si>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</si>
  <si>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</si>
  <si>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</si>
  <si>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</si>
  <si>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</si>
  <si>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</si>
  <si>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</si>
  <si>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</si>
  <si>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</si>
  <si>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</si>
  <si>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</si>
  <si>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</si>
  <si>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</si>
  <si>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</si>
  <si>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</si>
  <si>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</si>
  <si>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</si>
  <si>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</si>
  <si>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</si>
  <si>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</si>
  <si>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</si>
  <si>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</si>
  <si>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</si>
  <si>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</si>
  <si>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</si>
  <si>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</si>
  <si>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</si>
  <si>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</si>
  <si>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</si>
  <si>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</si>
  <si>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</si>
  <si>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</si>
  <si>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</si>
  <si>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</si>
  <si>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</si>
  <si>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</si>
  <si>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</si>
  <si>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</si>
  <si>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</si>
  <si>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</si>
  <si>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</si>
  <si>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</si>
  <si>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</si>
  <si>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</si>
  <si>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</si>
  <si>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</si>
  <si>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</si>
  <si>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</si>
  <si>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</si>
  <si>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</si>
  <si>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</si>
  <si>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</si>
  <si>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</si>
  <si>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</si>
  <si>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</si>
  <si>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</si>
  <si>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</si>
  <si>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</si>
  <si>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</si>
  <si>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</si>
  <si>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</si>
  <si>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</si>
  <si>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</si>
  <si>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</si>
  <si>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</si>
  <si>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</si>
  <si>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</si>
  <si>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</si>
  <si>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</si>
  <si>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</si>
  <si>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</si>
  <si>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</si>
  <si>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</si>
  <si>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</si>
  <si>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</si>
  <si>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</si>
  <si>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</si>
  <si>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</si>
  <si>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</si>
  <si>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</si>
  <si>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</si>
  <si>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</si>
  <si>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</si>
  <si>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</si>
  <si>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</si>
  <si>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</si>
  <si>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</si>
  <si>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</si>
  <si>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</si>
  <si>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</si>
  <si>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</si>
  <si>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</si>
  <si>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</si>
  <si>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</si>
  <si>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</si>
  <si>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</si>
  <si>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</si>
  <si>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</si>
  <si>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</si>
  <si>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</si>
  <si>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</si>
  <si>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</si>
  <si>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</si>
  <si>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</si>
  <si>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</si>
  <si>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</si>
  <si>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</si>
  <si>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</si>
  <si>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</si>
  <si>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</si>
  <si>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</si>
  <si>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</si>
  <si>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</si>
  <si>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</si>
  <si>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</si>
  <si>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</si>
  <si>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</si>
  <si>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</si>
  <si>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</si>
  <si>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</si>
  <si>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</si>
  <si>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</si>
  <si>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</si>
  <si>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</si>
  <si>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</si>
  <si>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</si>
  <si>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</si>
  <si>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</si>
  <si>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</si>
  <si>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</si>
  <si>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</si>
  <si>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</si>
  <si>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</si>
  <si>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</si>
  <si>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</si>
  <si>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</si>
  <si>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</si>
  <si>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</si>
  <si>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</si>
  <si>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</si>
  <si>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</si>
  <si>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</si>
  <si>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</si>
  <si>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</si>
  <si>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</si>
  <si>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</si>
  <si>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</si>
  <si>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</si>
  <si>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</si>
  <si>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</si>
  <si>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</si>
  <si>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</si>
  <si>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</si>
  <si>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</si>
  <si>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</si>
  <si>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</si>
  <si>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</si>
  <si>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</si>
  <si>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</si>
  <si>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</si>
  <si>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</si>
  <si>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</si>
  <si>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</si>
  <si>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</si>
  <si>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</si>
  <si>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</si>
  <si>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</si>
  <si>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</si>
  <si>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</si>
  <si>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</si>
  <si>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</si>
  <si>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</si>
  <si>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</si>
  <si>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</si>
  <si>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</si>
  <si>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</si>
  <si>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</si>
  <si>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</si>
  <si>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</si>
  <si>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</si>
  <si>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</si>
  <si>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</si>
  <si>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</si>
  <si>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</si>
  <si>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</si>
  <si>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</si>
  <si>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</si>
  <si>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</si>
  <si>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</si>
  <si>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</si>
  <si>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</si>
  <si>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</si>
  <si>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</si>
  <si>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</si>
  <si>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</si>
  <si>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</si>
  <si>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</si>
  <si>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</si>
  <si>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</si>
  <si>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</si>
  <si>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</si>
  <si>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</si>
  <si>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</si>
  <si>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</si>
  <si>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</si>
  <si>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</si>
  <si>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</si>
  <si>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</si>
  <si>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</si>
  <si>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</si>
  <si>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</si>
  <si>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</si>
  <si>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</si>
  <si>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</si>
  <si>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</si>
  <si>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</si>
  <si>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</si>
  <si>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</si>
  <si>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</si>
  <si>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</si>
  <si>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</si>
  <si>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</si>
  <si>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</si>
  <si>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</si>
  <si>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</si>
  <si>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</si>
  <si>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</si>
  <si>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</si>
  <si>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</si>
  <si>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</si>
  <si>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</si>
  <si>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</si>
  <si>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</si>
  <si>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</si>
  <si>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</si>
  <si>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</si>
  <si>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</si>
  <si>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</si>
  <si>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</si>
  <si>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</si>
  <si>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</si>
  <si>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</si>
  <si>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</si>
  <si>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</si>
  <si>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</si>
  <si>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</si>
  <si>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</si>
  <si>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</si>
  <si>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</si>
  <si>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</si>
  <si>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</si>
  <si>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</si>
  <si>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</si>
  <si>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</si>
  <si>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</si>
  <si>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</si>
  <si>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</si>
  <si>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</si>
  <si>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</si>
  <si>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</si>
  <si>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</si>
  <si>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</si>
  <si>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</si>
  <si>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</si>
  <si>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</si>
  <si>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</si>
  <si>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</si>
  <si>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</si>
  <si>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</si>
  <si>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</si>
  <si>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</si>
  <si>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</si>
  <si>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</si>
  <si>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</si>
  <si>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</si>
  <si>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</si>
  <si>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</si>
  <si>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</si>
  <si>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</si>
  <si>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</si>
  <si>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</si>
  <si>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</si>
  <si>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</si>
  <si>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</si>
  <si>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</si>
  <si>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</si>
  <si>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</si>
  <si>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</si>
  <si>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</si>
  <si>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</si>
  <si>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</si>
  <si>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</si>
  <si>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</si>
  <si>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</si>
  <si>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</si>
  <si>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</si>
  <si>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</si>
  <si>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</si>
  <si>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</si>
  <si>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</si>
  <si>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</si>
  <si>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</si>
  <si>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</si>
  <si>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</si>
  <si>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</si>
  <si>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</si>
  <si>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</si>
  <si>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</si>
  <si>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</si>
  <si>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</si>
  <si>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</si>
  <si>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</si>
  <si>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</si>
  <si>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</si>
  <si>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</si>
  <si>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</si>
  <si>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</si>
  <si>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</si>
  <si>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</si>
  <si>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</si>
  <si>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</si>
  <si>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</si>
  <si>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</si>
  <si>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</si>
  <si>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</si>
  <si>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</si>
  <si>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</si>
  <si>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</si>
  <si>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</si>
  <si>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</si>
  <si>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</si>
  <si>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</si>
  <si>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</si>
  <si>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</si>
  <si>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</si>
  <si>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</si>
  <si>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</si>
  <si>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</si>
  <si>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</si>
  <si>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</si>
  <si>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</si>
  <si>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</si>
  <si>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</si>
  <si>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</si>
  <si>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</si>
  <si>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</si>
  <si>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</si>
  <si>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</si>
  <si>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</si>
  <si>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</si>
  <si>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</si>
  <si>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</si>
  <si>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</si>
  <si>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</si>
  <si>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</si>
  <si>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</si>
  <si>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</si>
  <si>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</si>
  <si>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</si>
  <si>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</si>
  <si>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</si>
  <si>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</si>
  <si>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</si>
  <si>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</si>
  <si>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</si>
  <si>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</si>
  <si>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</si>
  <si>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</si>
  <si>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</si>
  <si>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</si>
  <si>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</si>
  <si>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</si>
  <si>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</si>
  <si>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</si>
  <si>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</si>
  <si>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</si>
  <si>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</si>
  <si>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</si>
  <si>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</si>
  <si>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</si>
  <si>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</si>
  <si>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</si>
  <si>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</si>
  <si>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</si>
  <si>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</si>
  <si>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</si>
  <si>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</si>
  <si>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</si>
  <si>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</si>
  <si>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</si>
  <si>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</si>
  <si>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</si>
  <si>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</si>
  <si>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</si>
  <si>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</si>
  <si>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</si>
  <si>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</si>
  <si>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</si>
  <si>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</si>
  <si>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</si>
  <si>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</si>
  <si>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</si>
  <si>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</si>
  <si>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</si>
  <si>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</si>
  <si>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</si>
  <si>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</si>
  <si>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</si>
  <si>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</si>
  <si>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</si>
  <si>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</si>
  <si>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</si>
  <si>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</si>
  <si>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</si>
  <si>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</si>
  <si>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</si>
  <si>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</si>
  <si>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</si>
  <si>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</si>
  <si>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</si>
  <si>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</si>
  <si>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</si>
  <si>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</si>
  <si>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</si>
  <si>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</si>
  <si>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</si>
  <si>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</si>
  <si>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</si>
  <si>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</si>
  <si>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</si>
  <si>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</si>
  <si>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</si>
  <si>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</si>
  <si>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</si>
  <si>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</si>
  <si>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</si>
  <si>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</si>
  <si>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</si>
  <si>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</si>
  <si>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</si>
  <si>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</si>
  <si>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</si>
  <si>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</si>
  <si>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</si>
  <si>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</si>
  <si>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</si>
  <si>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</si>
  <si>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</si>
  <si>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</si>
  <si>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</si>
  <si>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</si>
  <si>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</si>
  <si>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</si>
  <si>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</si>
  <si>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</si>
  <si>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</si>
  <si>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</si>
  <si>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</si>
  <si>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</si>
  <si>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</si>
  <si>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</si>
  <si>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</si>
  <si>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</si>
  <si>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</si>
  <si>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</si>
  <si>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</si>
  <si>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</si>
  <si>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</si>
  <si>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</si>
  <si>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</si>
  <si>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</si>
  <si>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</si>
  <si>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</si>
  <si>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</si>
  <si>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</si>
  <si>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</si>
  <si>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</si>
  <si>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</si>
  <si>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</si>
  <si>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</si>
  <si>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</si>
  <si>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</si>
  <si>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</si>
  <si>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</si>
  <si>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</si>
  <si>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</si>
  <si>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</si>
  <si>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</si>
  <si>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</si>
  <si>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</si>
  <si>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</si>
  <si>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</si>
  <si>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</si>
  <si>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</si>
  <si>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</si>
  <si>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</si>
  <si>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</si>
  <si>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</si>
  <si>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</si>
  <si>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</si>
  <si>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</si>
  <si>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</si>
  <si>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</si>
  <si>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</si>
  <si>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</si>
  <si>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</si>
  <si>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</si>
  <si>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</si>
  <si>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</si>
  <si>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</si>
  <si>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</si>
  <si>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</si>
  <si>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</si>
  <si>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</si>
  <si>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</si>
  <si>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</si>
  <si>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</si>
  <si>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</si>
  <si>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</si>
  <si>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</si>
  <si>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</si>
  <si>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</si>
  <si>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</si>
  <si>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</si>
  <si>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</si>
  <si>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</si>
  <si>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</si>
  <si>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</si>
  <si>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</si>
  <si>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</si>
  <si>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</si>
  <si>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</si>
  <si>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</si>
  <si>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</si>
  <si>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</si>
  <si>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</si>
  <si>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</si>
  <si>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</si>
  <si>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</si>
  <si>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</si>
  <si>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</si>
  <si>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</si>
  <si>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</si>
  <si>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</si>
  <si>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</si>
  <si>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</si>
  <si>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</si>
  <si>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</si>
  <si>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</si>
  <si>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</si>
  <si>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</si>
  <si>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</si>
  <si>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</si>
  <si>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</si>
  <si>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</si>
  <si>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</si>
  <si>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</si>
  <si>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</si>
  <si>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</si>
  <si>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</si>
  <si>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</si>
  <si>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</si>
  <si>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</si>
  <si>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</si>
  <si>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</si>
  <si>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</si>
  <si>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</si>
  <si>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</si>
  <si>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</si>
  <si>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</si>
  <si>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</si>
  <si>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</si>
  <si>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</si>
  <si>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</si>
  <si>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</si>
  <si>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</si>
  <si>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</si>
  <si>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</si>
  <si>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</si>
  <si>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</si>
  <si>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</si>
  <si>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</si>
  <si>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</si>
  <si>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</si>
  <si>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</si>
  <si>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</si>
  <si>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</si>
  <si>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</si>
  <si>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</si>
  <si>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</si>
  <si>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</si>
  <si>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</si>
  <si>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</si>
  <si>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</si>
  <si>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</si>
  <si>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</si>
  <si>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</si>
  <si>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</si>
  <si>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</si>
  <si>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</si>
  <si>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</si>
  <si>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</si>
  <si>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</si>
  <si>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</si>
  <si>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</si>
  <si>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</si>
  <si>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</si>
  <si>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</si>
  <si>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</si>
  <si>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</si>
  <si>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</si>
  <si>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</si>
  <si>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</si>
  <si>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</si>
  <si>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</si>
  <si>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</si>
  <si>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</si>
  <si>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</si>
  <si>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</si>
  <si>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</si>
  <si>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</si>
  <si>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</si>
  <si>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</si>
  <si>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</si>
  <si>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</si>
  <si>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</si>
  <si>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</si>
  <si>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</si>
  <si>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</si>
  <si>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</si>
  <si>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</si>
  <si>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</si>
  <si>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</si>
  <si>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</si>
  <si>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</si>
  <si>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</si>
  <si>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</si>
  <si>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</si>
  <si>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</si>
  <si>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</si>
  <si>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</si>
  <si>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</si>
  <si>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</si>
  <si>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</si>
  <si>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</si>
  <si>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</si>
  <si>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</si>
  <si>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</si>
  <si>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</si>
  <si>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</si>
  <si>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</si>
  <si>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</si>
  <si>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</si>
  <si>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</si>
  <si>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</si>
  <si>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</si>
  <si>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</si>
  <si>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</si>
  <si>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</si>
  <si>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</si>
  <si>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</si>
  <si>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</si>
  <si>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</si>
  <si>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</si>
  <si>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</si>
  <si>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</si>
  <si>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</si>
  <si>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</si>
  <si>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</si>
  <si>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</si>
  <si>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</si>
  <si>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</si>
  <si>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</si>
  <si>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</si>
  <si>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</si>
  <si>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</si>
  <si>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</si>
  <si>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</si>
  <si>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</si>
  <si>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</si>
  <si>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</si>
  <si>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</si>
  <si>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</si>
  <si>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</si>
  <si>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</si>
  <si>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</si>
  <si>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</si>
  <si>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</si>
  <si>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</si>
  <si>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</si>
  <si>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</si>
  <si>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</si>
  <si>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</si>
  <si>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</si>
  <si>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</si>
  <si>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</si>
  <si>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</si>
  <si>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</si>
  <si>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</si>
  <si>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</si>
  <si>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</si>
  <si>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</si>
  <si>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</si>
  <si>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</si>
  <si>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</si>
  <si>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</si>
  <si>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</si>
  <si>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</si>
  <si>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</si>
  <si>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</si>
  <si>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</si>
  <si>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</si>
  <si>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</si>
  <si>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</si>
  <si>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</si>
  <si>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</si>
  <si>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</si>
  <si>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</si>
  <si>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</si>
  <si>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</si>
  <si>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</si>
  <si>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</si>
  <si>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</si>
  <si>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</si>
  <si>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</si>
  <si>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</si>
  <si>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</si>
  <si>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</si>
  <si>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</si>
  <si>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</si>
  <si>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</si>
  <si>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</si>
  <si>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</si>
  <si>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</si>
  <si>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</si>
  <si>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</si>
  <si>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</si>
  <si>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</si>
  <si>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</si>
  <si>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</si>
  <si>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</si>
  <si>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</si>
  <si>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</si>
  <si>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</si>
  <si>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</si>
  <si>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</si>
  <si>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</si>
  <si>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</si>
  <si>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</si>
  <si>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</si>
  <si>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</si>
  <si>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</si>
  <si>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</si>
  <si>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</si>
  <si>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</si>
  <si>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</si>
  <si>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</si>
  <si>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</si>
  <si>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</si>
  <si>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</si>
  <si>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</si>
  <si>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</si>
  <si>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</si>
  <si>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</si>
  <si>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</si>
  <si>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</si>
  <si>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</si>
  <si>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</si>
  <si>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</si>
  <si>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</si>
  <si>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</si>
  <si>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</si>
  <si>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</si>
  <si>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</si>
  <si>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</si>
  <si>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</si>
  <si>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</si>
  <si>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</si>
  <si>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</si>
  <si>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</si>
  <si>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</si>
  <si>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</si>
  <si>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</si>
  <si>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</si>
  <si>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</si>
  <si>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</si>
  <si>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</si>
  <si>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</si>
  <si>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</si>
  <si>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</si>
  <si>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</si>
  <si>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</si>
  <si>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</si>
  <si>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</si>
  <si>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</si>
  <si>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</si>
  <si>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</si>
  <si>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</si>
  <si>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</si>
  <si>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</si>
  <si>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</si>
  <si>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</si>
  <si>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</si>
  <si>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</si>
  <si>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</si>
  <si>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</si>
  <si>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</si>
  <si>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</si>
  <si>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</si>
  <si>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</si>
  <si>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</si>
  <si>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</si>
  <si>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</si>
  <si>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</si>
  <si>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</si>
  <si>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</si>
  <si>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</si>
  <si>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</si>
  <si>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</si>
  <si>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</si>
  <si>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</si>
  <si>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</si>
  <si>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</si>
  <si>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</si>
  <si>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</si>
  <si>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</si>
  <si>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</si>
  <si>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</si>
  <si>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</si>
  <si>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</si>
  <si>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</si>
  <si>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</si>
  <si>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</si>
  <si>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</si>
  <si>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</si>
  <si>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</si>
  <si>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</si>
  <si>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</si>
  <si>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</si>
  <si>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</si>
  <si>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</si>
  <si>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</si>
  <si>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</si>
  <si>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</si>
  <si>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</si>
  <si>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</si>
  <si>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</si>
  <si>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</si>
  <si>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</si>
  <si>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</si>
  <si>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</si>
  <si>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</si>
  <si>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</si>
  <si>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</si>
  <si>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</si>
  <si>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</si>
  <si>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</si>
  <si>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</si>
  <si>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</si>
  <si>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</si>
  <si>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</si>
  <si>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</si>
  <si>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</si>
  <si>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</si>
  <si>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</si>
  <si>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</si>
  <si>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</si>
  <si>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</si>
  <si>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</si>
  <si>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</si>
  <si>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</si>
  <si>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</si>
  <si>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</si>
  <si>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</si>
  <si>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</si>
  <si>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</si>
  <si>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</si>
  <si>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</si>
  <si>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</si>
  <si>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</si>
  <si>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</si>
  <si>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</si>
  <si>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</si>
  <si>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</si>
  <si>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</si>
  <si>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</si>
  <si>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</si>
  <si>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</si>
  <si>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</si>
  <si>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</si>
  <si>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</si>
  <si>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</si>
  <si>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</si>
  <si>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</si>
  <si>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</si>
  <si>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</si>
  <si>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</si>
  <si>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</si>
  <si>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</si>
  <si>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</si>
  <si>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</si>
  <si>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</si>
  <si>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</si>
  <si>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</si>
  <si>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</si>
  <si>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</si>
  <si>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</si>
  <si>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</si>
  <si>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</si>
  <si>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</si>
  <si>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</si>
  <si>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</si>
  <si>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</si>
  <si>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</si>
  <si>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</si>
  <si>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</si>
  <si>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</si>
  <si>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</si>
  <si>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</si>
  <si>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</si>
  <si>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</si>
  <si>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</si>
  <si>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</si>
  <si>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</si>
  <si>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</si>
  <si>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</si>
  <si>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</si>
  <si>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</si>
  <si>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</si>
  <si>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</si>
  <si>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</si>
  <si>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</si>
  <si>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</si>
  <si>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</si>
  <si>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</si>
  <si>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</si>
  <si>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</si>
  <si>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</si>
  <si>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</si>
  <si>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</si>
  <si>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</si>
  <si>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</si>
  <si>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</si>
  <si>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</si>
  <si>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</si>
  <si>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</si>
  <si>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</si>
  <si>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</si>
  <si>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</si>
  <si>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</si>
  <si>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</si>
  <si>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</si>
  <si>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</si>
  <si>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</si>
  <si>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</si>
  <si>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</si>
  <si>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</si>
  <si>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</si>
  <si>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</si>
  <si>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</si>
  <si>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</si>
  <si>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</si>
  <si>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</si>
  <si>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</si>
  <si>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</si>
  <si>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</si>
  <si>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</si>
  <si>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</si>
  <si>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</si>
  <si>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</si>
  <si>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</si>
  <si>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</si>
  <si>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</si>
  <si>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</si>
  <si>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</si>
  <si>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</si>
  <si>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</si>
  <si>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</si>
  <si>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</si>
  <si>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</si>
  <si>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</si>
  <si>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</si>
  <si>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</si>
  <si>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</si>
  <si>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</si>
  <si>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</si>
  <si>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</si>
  <si>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</si>
  <si>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</si>
  <si>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</si>
  <si>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</si>
  <si>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</si>
  <si>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</si>
  <si>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</si>
  <si>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</si>
  <si>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</si>
  <si>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</si>
  <si>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</si>
  <si>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</si>
  <si>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</si>
  <si>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</si>
  <si>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</si>
  <si>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</si>
  <si>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</si>
  <si>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</si>
  <si>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</si>
  <si>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</si>
  <si>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</si>
  <si>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</si>
  <si>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</si>
  <si>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</si>
  <si>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</si>
  <si>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</si>
  <si>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</si>
  <si>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</si>
  <si>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</si>
  <si>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</si>
  <si>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</si>
  <si>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</si>
  <si>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</si>
  <si>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</si>
  <si>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</si>
  <si>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</si>
  <si>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</si>
  <si>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</si>
  <si>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</si>
  <si>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</si>
  <si>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</si>
  <si>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</si>
  <si>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</si>
  <si>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</si>
  <si>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</si>
  <si>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</si>
  <si>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</si>
  <si>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</si>
  <si>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</si>
  <si>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</si>
  <si>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</si>
  <si>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</si>
  <si>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</si>
  <si>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</si>
  <si>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</si>
  <si>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</si>
  <si>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</si>
  <si>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</si>
  <si>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</si>
  <si>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</si>
  <si>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</si>
  <si>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</si>
  <si>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</si>
  <si>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</si>
  <si>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</si>
  <si>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</si>
  <si>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</si>
  <si>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</si>
  <si>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</si>
  <si>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</si>
  <si>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</si>
  <si>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</si>
  <si>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</si>
  <si>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</si>
  <si>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</si>
  <si>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</si>
  <si>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</si>
  <si>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</si>
  <si>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</si>
  <si>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</si>
  <si>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</si>
  <si>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</si>
  <si>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</si>
  <si>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</si>
  <si>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</si>
  <si>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</si>
  <si>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</si>
  <si>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</si>
  <si>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</si>
  <si>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</si>
  <si>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</si>
  <si>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</si>
  <si>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</si>
  <si>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</si>
  <si>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</si>
  <si>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</si>
  <si>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</si>
  <si>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</si>
  <si>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</si>
  <si>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</si>
  <si>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</si>
  <si>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</si>
  <si>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</si>
  <si>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</si>
  <si>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</si>
  <si>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</si>
  <si>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</si>
  <si>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</si>
  <si>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</si>
  <si>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</si>
  <si>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</si>
  <si>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</si>
  <si>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</si>
  <si>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</si>
  <si>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</si>
  <si>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</si>
  <si>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</si>
  <si>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</si>
  <si>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</si>
  <si>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</si>
  <si>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</si>
  <si>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</si>
  <si>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</si>
  <si>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</si>
  <si>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</si>
  <si>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</si>
  <si>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</si>
  <si>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</si>
  <si>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</si>
  <si>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</si>
  <si>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</si>
  <si>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</si>
  <si>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</si>
  <si>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</si>
  <si>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</si>
  <si>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</si>
  <si>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</si>
  <si>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</si>
  <si>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</si>
  <si>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</si>
  <si>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</si>
  <si>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</si>
  <si>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</si>
  <si>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</si>
  <si>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</si>
  <si>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</si>
  <si>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</si>
  <si>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</si>
  <si>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</si>
  <si>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</si>
  <si>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</si>
  <si>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</si>
  <si>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</si>
  <si>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</si>
  <si>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</si>
  <si>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</si>
  <si>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</si>
  <si>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</si>
  <si>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</si>
  <si>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</si>
  <si>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</si>
  <si>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</si>
  <si>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</si>
  <si>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</si>
  <si>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</si>
  <si>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</si>
  <si>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</si>
  <si>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</si>
  <si>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</si>
  <si>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</si>
  <si>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</si>
  <si>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</si>
  <si>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</si>
  <si>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</si>
  <si>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</si>
  <si>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</si>
  <si>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</si>
  <si>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</si>
  <si>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</si>
  <si>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</si>
  <si>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</si>
  <si>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</si>
  <si>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</si>
  <si>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</si>
  <si>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</si>
  <si>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</si>
  <si>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</si>
  <si>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</si>
  <si>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</si>
  <si>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</si>
  <si>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</si>
  <si>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</si>
  <si>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</si>
  <si>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</si>
  <si>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</si>
  <si>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</si>
  <si>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</si>
  <si>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</si>
  <si>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</si>
  <si>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</si>
  <si>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</si>
  <si>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</si>
  <si>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</si>
  <si>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</si>
  <si>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</si>
  <si>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</si>
  <si>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</si>
  <si>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</si>
  <si>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</si>
  <si>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</si>
  <si>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</si>
  <si>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</si>
  <si>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</si>
  <si>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</si>
  <si>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</si>
  <si>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</si>
  <si>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</si>
  <si>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</si>
  <si>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</si>
  <si>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</si>
  <si>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</si>
  <si>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</si>
  <si>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</si>
  <si>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</si>
  <si>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</si>
  <si>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</si>
  <si>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</si>
  <si>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</si>
  <si>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</si>
  <si>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</si>
  <si>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</si>
  <si>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</si>
  <si>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</si>
  <si>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</si>
  <si>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</si>
  <si>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</si>
  <si>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</si>
  <si>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</si>
  <si>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</si>
  <si>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</si>
  <si>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</si>
  <si>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</si>
  <si>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</si>
  <si>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</si>
  <si>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</si>
  <si>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</si>
  <si>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</si>
  <si>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</si>
  <si>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</si>
  <si>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</si>
  <si>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</si>
  <si>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</si>
  <si>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</si>
  <si>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</si>
  <si>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</si>
  <si>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</si>
  <si>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</si>
  <si>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</si>
  <si>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</si>
  <si>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</si>
  <si>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</si>
  <si>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</si>
  <si>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</si>
  <si>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</si>
  <si>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</si>
  <si>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</si>
  <si>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</si>
  <si>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</si>
  <si>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</si>
  <si>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</si>
  <si>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</si>
  <si>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</si>
  <si>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</si>
  <si>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</si>
  <si>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</si>
  <si>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</si>
  <si>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</si>
  <si>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</si>
  <si>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</si>
  <si>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</si>
  <si>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</si>
  <si>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</si>
  <si>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</si>
  <si>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</si>
  <si>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</si>
  <si>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</si>
  <si>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</si>
  <si>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</si>
  <si>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</si>
  <si>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</si>
  <si>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</si>
  <si>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</si>
  <si>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</si>
  <si>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</si>
  <si>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</si>
  <si>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</si>
  <si>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</si>
  <si>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</si>
  <si>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</si>
  <si>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</si>
  <si>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</si>
  <si>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</si>
  <si>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</si>
  <si>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</si>
  <si>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</si>
  <si>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</si>
  <si>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</si>
  <si>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</si>
  <si>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</si>
  <si>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</si>
  <si>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</si>
  <si>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</si>
  <si>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</si>
  <si>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</si>
  <si>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</si>
  <si>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</si>
  <si>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</si>
  <si>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</si>
  <si>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</si>
  <si>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</si>
  <si>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</si>
  <si>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</si>
  <si>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</si>
  <si>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</si>
  <si>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</si>
  <si>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</si>
  <si>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</si>
  <si>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</si>
  <si>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</si>
  <si>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</si>
  <si>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</si>
  <si>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</si>
  <si>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</si>
  <si>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</si>
  <si>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</si>
  <si>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</si>
  <si>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</si>
  <si>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</si>
  <si>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</si>
  <si>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</si>
  <si>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</si>
  <si>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</si>
  <si>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</si>
  <si>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</si>
  <si>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</si>
  <si>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</si>
  <si>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</si>
  <si>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</si>
  <si>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</si>
  <si>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</si>
  <si>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</si>
  <si>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</si>
  <si>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</si>
  <si>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</si>
  <si>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</si>
  <si>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</si>
  <si>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</si>
  <si>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</si>
  <si>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</si>
  <si>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</si>
  <si>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</si>
  <si>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</si>
  <si>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</si>
  <si>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</si>
  <si>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</si>
  <si>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</si>
  <si>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</si>
  <si>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</si>
  <si>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</si>
  <si>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</si>
  <si>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</si>
  <si>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</si>
  <si>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</si>
  <si>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</si>
  <si>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</si>
  <si>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</si>
  <si>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</si>
  <si>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</si>
  <si>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</si>
  <si>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</si>
  <si>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</si>
  <si>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</si>
  <si>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</si>
  <si>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</si>
  <si>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</si>
  <si>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</si>
  <si>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</si>
  <si>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</si>
  <si>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</si>
  <si>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</si>
  <si>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</si>
  <si>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</si>
  <si>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</si>
  <si>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</si>
  <si>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</si>
  <si>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</si>
  <si>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</si>
  <si>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</si>
  <si>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</si>
  <si>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</si>
  <si>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</si>
  <si>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</si>
  <si>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</si>
  <si>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</si>
  <si>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</si>
  <si>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</si>
  <si>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</si>
  <si>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</si>
  <si>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</si>
  <si>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</si>
  <si>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</si>
  <si>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</si>
  <si>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</si>
  <si>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</si>
  <si>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</si>
  <si>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</si>
  <si>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</si>
  <si>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</si>
  <si>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</si>
  <si>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</si>
  <si>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</si>
  <si>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</si>
  <si>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</si>
  <si>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</si>
  <si>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</si>
  <si>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</si>
  <si>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</si>
  <si>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</si>
  <si>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</si>
  <si>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</si>
  <si>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</si>
  <si>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</si>
  <si>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</si>
  <si>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</si>
  <si>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</si>
  <si>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</si>
  <si>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</si>
  <si>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</si>
  <si>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</si>
  <si>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</si>
  <si>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</si>
  <si>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</si>
  <si>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</si>
  <si>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</si>
  <si>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</si>
  <si>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</si>
  <si>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</si>
  <si>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</si>
  <si>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</si>
  <si>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</si>
  <si>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</si>
  <si>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</si>
  <si>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</si>
  <si>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</si>
  <si>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</si>
  <si>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</si>
  <si>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</si>
  <si>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</si>
  <si>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</si>
  <si>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</si>
  <si>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</si>
  <si>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</si>
  <si>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</si>
  <si>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</si>
  <si>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</si>
  <si>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</si>
  <si>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</si>
  <si>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</si>
  <si>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</si>
  <si>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</si>
  <si>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</si>
  <si>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</si>
  <si>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</si>
  <si>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</si>
  <si>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</si>
  <si>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</si>
  <si>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</si>
  <si>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</si>
  <si>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</si>
  <si>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</si>
  <si>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</si>
  <si>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</si>
  <si>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</si>
  <si>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</si>
  <si>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</si>
  <si>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</si>
  <si>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</si>
  <si>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</si>
  <si>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</si>
  <si>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</si>
  <si>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</si>
  <si>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</si>
  <si>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</si>
  <si>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</si>
  <si>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</si>
  <si>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</si>
  <si>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</si>
  <si>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</si>
  <si>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</si>
  <si>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</si>
  <si>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</si>
  <si>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</si>
  <si>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</si>
  <si>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</si>
  <si>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</si>
  <si>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</si>
  <si>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</si>
  <si>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</si>
  <si>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</si>
  <si>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</si>
  <si>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</si>
  <si>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</si>
  <si>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</si>
  <si>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</si>
  <si>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</si>
  <si>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</si>
  <si>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</si>
  <si>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</si>
  <si>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</si>
  <si>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</si>
  <si>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</si>
  <si>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</si>
  <si>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</si>
  <si>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</si>
  <si>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</si>
  <si>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</si>
  <si>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</si>
  <si>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</si>
  <si>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</si>
  <si>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</si>
  <si>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</si>
  <si>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</si>
  <si>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</si>
  <si>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</si>
  <si>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</si>
  <si>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</si>
  <si>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</si>
  <si>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</si>
  <si>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</si>
  <si>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</si>
  <si>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</si>
  <si>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</si>
  <si>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</si>
  <si>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</si>
  <si>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</si>
  <si>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</si>
  <si>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</si>
  <si>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</si>
  <si>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</si>
  <si>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</si>
  <si>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</si>
  <si>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</si>
  <si>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</si>
  <si>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</si>
  <si>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</si>
  <si>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</si>
  <si>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</si>
  <si>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</si>
  <si>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</si>
  <si>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</si>
  <si>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</si>
  <si>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</si>
  <si>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</si>
  <si>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</si>
  <si>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</si>
  <si>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</si>
  <si>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</si>
  <si>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</si>
  <si>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</si>
  <si>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</si>
  <si>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</si>
  <si>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</si>
  <si>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</si>
  <si>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</si>
  <si>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</si>
  <si>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</si>
  <si>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</si>
  <si>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</si>
  <si>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</si>
  <si>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</si>
  <si>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</si>
  <si>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</si>
  <si>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</si>
  <si>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</si>
  <si>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</si>
  <si>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</si>
  <si>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</si>
  <si>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</si>
  <si>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</si>
  <si>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</si>
  <si>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</si>
  <si>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</si>
  <si>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</si>
  <si>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</si>
  <si>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</si>
  <si>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</si>
  <si>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</si>
  <si>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</si>
  <si>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</si>
  <si>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</si>
  <si>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</si>
  <si>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</si>
  <si>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</si>
  <si>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</si>
  <si>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</si>
  <si>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</si>
  <si>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</si>
  <si>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</si>
  <si>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</si>
  <si>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</si>
  <si>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</si>
  <si>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</si>
  <si>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</si>
  <si>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</si>
  <si>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</si>
  <si>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</si>
  <si>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</si>
  <si>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</si>
  <si>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</si>
  <si>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</si>
  <si>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</si>
  <si>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</si>
  <si>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</si>
  <si>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</si>
  <si>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</si>
  <si>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</si>
  <si>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</si>
  <si>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</si>
  <si>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</si>
  <si>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</si>
  <si>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</si>
  <si>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</si>
  <si>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</si>
  <si>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</si>
  <si>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</si>
  <si>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</si>
  <si>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</si>
  <si>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</si>
  <si>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</si>
  <si>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</si>
  <si>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</si>
  <si>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</si>
  <si>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</si>
  <si>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</si>
  <si>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</si>
  <si>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</si>
  <si>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</si>
  <si>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</si>
  <si>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</si>
  <si>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</si>
  <si>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</si>
  <si>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</si>
  <si>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</si>
  <si>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</si>
  <si>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</si>
  <si>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</si>
  <si>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</si>
  <si>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</si>
  <si>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</si>
  <si>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</si>
  <si>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</si>
  <si>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</si>
  <si>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</si>
  <si>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</si>
  <si>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</si>
  <si>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</si>
  <si>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</si>
  <si>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</si>
  <si>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</si>
  <si>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</si>
  <si>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</si>
  <si>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</si>
  <si>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</si>
  <si>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</si>
  <si>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</si>
  <si>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</si>
  <si>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</si>
  <si>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</si>
  <si>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</si>
  <si>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</si>
  <si>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</si>
  <si>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</si>
  <si>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</si>
  <si>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</si>
  <si>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</si>
  <si>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</si>
  <si>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</si>
  <si>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</si>
  <si>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</si>
  <si>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</si>
  <si>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</si>
  <si>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</si>
  <si>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</si>
  <si>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</si>
  <si>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</si>
  <si>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</si>
  <si>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</si>
  <si>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</si>
  <si>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</si>
  <si>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</si>
  <si>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</si>
  <si>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</si>
  <si>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</si>
  <si>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</si>
  <si>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</si>
  <si>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</si>
  <si>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</si>
  <si>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</si>
  <si>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</si>
  <si>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</si>
  <si>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</si>
  <si>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</si>
  <si>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</si>
  <si>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</si>
  <si>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</si>
  <si>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</si>
  <si>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</si>
  <si>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</si>
  <si>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</si>
  <si>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</si>
  <si>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</si>
  <si>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</si>
  <si>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</si>
  <si>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</si>
  <si>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</si>
  <si>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</si>
  <si>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</si>
  <si>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</si>
  <si>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</si>
  <si>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</si>
  <si>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</si>
  <si>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</si>
  <si>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</si>
  <si>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</si>
  <si>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</si>
  <si>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</si>
  <si>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</si>
  <si>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</si>
  <si>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</si>
  <si>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</si>
  <si>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</si>
  <si>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</si>
  <si>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</si>
  <si>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</si>
  <si>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</si>
  <si>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</si>
  <si>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</si>
  <si>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</si>
  <si>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</si>
  <si>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</si>
  <si>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</si>
  <si>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</si>
  <si>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</si>
  <si>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</si>
  <si>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</si>
  <si>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</si>
  <si>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</si>
  <si>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</si>
  <si>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</si>
  <si>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</si>
  <si>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</si>
  <si>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</si>
  <si>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</si>
  <si>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</si>
  <si>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</si>
  <si>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</si>
  <si>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</si>
  <si>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</si>
  <si>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</si>
  <si>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</si>
  <si>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</si>
  <si>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</si>
  <si>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</si>
  <si>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</si>
  <si>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</si>
  <si>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</si>
  <si>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</si>
  <si>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</si>
  <si>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</si>
  <si>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</si>
  <si>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</si>
  <si>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</si>
  <si>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</si>
  <si>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</si>
  <si>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</si>
  <si>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</si>
  <si>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</si>
  <si>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</si>
  <si>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</si>
  <si>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</si>
  <si>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</si>
  <si>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</si>
  <si>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</si>
  <si>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</si>
  <si>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</si>
  <si>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</si>
  <si>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</si>
  <si>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</si>
  <si>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</si>
  <si>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</si>
  <si>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</si>
  <si>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</si>
  <si>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</si>
  <si>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</si>
  <si>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</si>
  <si>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</si>
  <si>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</si>
  <si>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</si>
  <si>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</si>
  <si>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</si>
  <si>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</si>
  <si>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</si>
  <si>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</si>
  <si>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</si>
  <si>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</si>
  <si>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</si>
  <si>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</si>
  <si>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</si>
  <si>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</si>
  <si>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</si>
  <si>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</si>
  <si>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</si>
  <si>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</si>
  <si>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</si>
  <si>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</si>
  <si>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</si>
  <si>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</si>
  <si>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</si>
  <si>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</si>
  <si>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</si>
  <si>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</si>
  <si>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</si>
  <si>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</si>
  <si>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</si>
  <si>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</si>
  <si>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</si>
  <si>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</si>
  <si>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</si>
  <si>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</si>
  <si>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</si>
  <si>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</si>
  <si>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</si>
  <si>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</si>
  <si>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</si>
  <si>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</si>
  <si>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</si>
  <si>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</si>
  <si>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</si>
  <si>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</si>
  <si>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</si>
  <si>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</si>
  <si>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</si>
  <si>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</si>
  <si>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</si>
  <si>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</si>
  <si>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</si>
  <si>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</si>
  <si>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</si>
  <si>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</si>
  <si>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</si>
  <si>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</si>
  <si>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</si>
  <si>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</si>
  <si>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</si>
  <si>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</si>
  <si>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</si>
  <si>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</si>
  <si>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</si>
  <si>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</si>
  <si>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</si>
  <si>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</si>
  <si>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</si>
  <si>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</si>
  <si>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</si>
  <si>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</si>
  <si>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</si>
  <si>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</si>
  <si>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</si>
  <si>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</si>
  <si>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</si>
  <si>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</si>
  <si>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</si>
  <si>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</si>
  <si>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</si>
  <si>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</si>
  <si>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</si>
  <si>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</si>
  <si>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</si>
  <si>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</si>
  <si>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</si>
  <si>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</si>
  <si>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</si>
  <si>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</si>
  <si>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</si>
  <si>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</si>
  <si>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</si>
  <si>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</si>
  <si>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</si>
  <si>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</si>
  <si>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</si>
  <si>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</si>
  <si>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</si>
  <si>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</si>
  <si>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</si>
  <si>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</si>
  <si>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</si>
  <si>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</si>
  <si>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</si>
  <si>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</si>
  <si>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</si>
  <si>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</si>
  <si>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</si>
  <si>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</si>
  <si>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</si>
  <si>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</si>
  <si>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</si>
  <si>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</si>
  <si>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</si>
  <si>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</si>
  <si>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</si>
  <si>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</si>
  <si>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</si>
  <si>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</si>
  <si>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</si>
  <si>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</si>
  <si>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</si>
  <si>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</si>
  <si>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</si>
  <si>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</si>
  <si>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</si>
  <si>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</si>
  <si>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</si>
  <si>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</si>
  <si>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</si>
  <si>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</si>
  <si>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</si>
  <si>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</si>
  <si>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</si>
  <si>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</si>
  <si>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</si>
  <si>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</si>
  <si>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</si>
  <si>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</si>
  <si>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</si>
  <si>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</si>
  <si>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</si>
  <si>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</si>
  <si>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</si>
  <si>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</si>
  <si>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</si>
  <si>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</si>
  <si>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</si>
  <si>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</si>
  <si>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</si>
  <si>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</si>
  <si>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</si>
  <si>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</si>
  <si>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</si>
  <si>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</si>
  <si>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</si>
  <si>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</si>
  <si>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</si>
  <si>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</si>
  <si>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</si>
  <si>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</si>
  <si>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</si>
  <si>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</si>
  <si>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</si>
  <si>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</si>
  <si>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</si>
  <si>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</si>
  <si>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</si>
  <si>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</si>
  <si>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</si>
  <si>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</si>
  <si>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</si>
  <si>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</si>
  <si>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</si>
  <si>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</si>
  <si>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</si>
  <si>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</si>
  <si>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</si>
  <si>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</si>
  <si>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</si>
  <si>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</si>
  <si>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</si>
  <si>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</si>
  <si>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</si>
  <si>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</si>
  <si>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</si>
  <si>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</si>
  <si>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</si>
  <si>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</si>
  <si>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</si>
  <si>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</si>
  <si>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</si>
  <si>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</si>
  <si>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</si>
  <si>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</si>
  <si>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</si>
  <si>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</si>
  <si>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</si>
  <si>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</si>
  <si>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</si>
  <si>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</si>
  <si>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</si>
  <si>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</si>
  <si>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</si>
  <si>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</si>
  <si>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</si>
  <si>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</si>
  <si>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</si>
  <si>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</si>
  <si>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</si>
  <si>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</si>
  <si>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</si>
  <si>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</si>
  <si>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</si>
  <si>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</si>
  <si>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</si>
  <si>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</si>
  <si>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</si>
  <si>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</si>
  <si>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</si>
  <si>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</si>
  <si>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</si>
  <si>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</si>
  <si>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</si>
  <si>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</si>
  <si>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</si>
  <si>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</si>
  <si>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</si>
  <si>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</si>
  <si>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</si>
  <si>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</si>
  <si>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</si>
  <si>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</si>
  <si>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</si>
  <si>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</si>
  <si>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</si>
  <si>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</si>
  <si>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</si>
  <si>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</si>
  <si>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</si>
  <si>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</si>
  <si>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</si>
  <si>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</si>
  <si>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</si>
  <si>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</si>
  <si>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</si>
  <si>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</si>
  <si>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</si>
  <si>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</si>
  <si>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</si>
  <si>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</si>
  <si>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</si>
  <si>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</si>
  <si>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</si>
  <si>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</si>
  <si>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</si>
  <si>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</si>
  <si>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</si>
  <si>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</si>
  <si>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</si>
  <si>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</si>
  <si>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</si>
  <si>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</si>
  <si>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</si>
  <si>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</si>
  <si>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</si>
  <si>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</si>
  <si>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</si>
  <si>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</si>
  <si>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</si>
  <si>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</si>
  <si>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</si>
  <si>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</si>
  <si>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</si>
  <si>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</si>
  <si>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</si>
  <si>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</si>
  <si>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</si>
  <si>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</si>
  <si>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</si>
  <si>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</si>
  <si>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</si>
  <si>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</si>
  <si>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</si>
  <si>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</si>
  <si>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</si>
  <si>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</si>
  <si>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</si>
  <si>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</si>
  <si>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</si>
  <si>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</si>
  <si>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</si>
  <si>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</si>
  <si>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</si>
  <si>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</si>
  <si>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</si>
  <si>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</si>
  <si>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</si>
  <si>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</si>
  <si>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</si>
  <si>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</si>
  <si>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</si>
  <si>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</si>
  <si>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</si>
  <si>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</si>
  <si>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</si>
  <si>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</si>
  <si>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</si>
  <si>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</si>
  <si>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</si>
  <si>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</si>
  <si>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</si>
  <si>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</si>
  <si>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</si>
  <si>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</si>
  <si>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</si>
  <si>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</si>
  <si>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</si>
  <si>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</si>
  <si>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</si>
  <si>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</si>
  <si>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</si>
  <si>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</si>
  <si>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</si>
  <si>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</si>
  <si>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</si>
  <si>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</si>
  <si>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</si>
  <si>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</si>
  <si>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</si>
  <si>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</si>
  <si>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</si>
  <si>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</si>
  <si>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</si>
  <si>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</si>
  <si>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</si>
  <si>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</si>
  <si>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</si>
  <si>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</si>
  <si>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</si>
  <si>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</si>
  <si>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</si>
  <si>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</si>
  <si>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</si>
  <si>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</si>
  <si>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</si>
  <si>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</si>
  <si>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</si>
  <si>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</si>
  <si>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</si>
  <si>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</si>
  <si>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</si>
  <si>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</si>
  <si>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</si>
  <si>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</si>
  <si>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</si>
  <si>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</si>
  <si>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</si>
  <si>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</si>
  <si>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</si>
  <si>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</si>
  <si>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</si>
  <si>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</si>
  <si>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</si>
  <si>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</si>
  <si>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</si>
  <si>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</si>
  <si>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</si>
  <si>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</si>
  <si>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</si>
  <si>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</si>
  <si>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</si>
  <si>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</si>
  <si>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</si>
  <si>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</si>
  <si>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</si>
  <si>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</si>
  <si>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</si>
  <si>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</si>
  <si>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</si>
  <si>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</si>
  <si>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</si>
  <si>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</si>
  <si>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</si>
  <si>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</si>
  <si>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</si>
  <si>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</si>
  <si>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</si>
  <si>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</si>
  <si>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</si>
  <si>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</si>
  <si>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</si>
  <si>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</si>
  <si>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</si>
  <si>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</si>
  <si>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</si>
  <si>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</si>
  <si>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</si>
  <si>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</si>
  <si>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</si>
  <si>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</si>
  <si>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</si>
  <si>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</si>
  <si>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</si>
  <si>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</si>
  <si>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</si>
  <si>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</si>
  <si>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</si>
  <si>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</si>
  <si>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</si>
  <si>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</si>
  <si>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</si>
  <si>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</si>
  <si>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</si>
  <si>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</si>
  <si>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</si>
  <si>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</si>
  <si>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</si>
  <si>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</si>
  <si>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</si>
  <si>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</si>
  <si>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</si>
  <si>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</si>
  <si>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</si>
  <si>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</si>
  <si>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</si>
  <si>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</si>
  <si>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</si>
  <si>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</si>
  <si>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</si>
  <si>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</si>
  <si>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</si>
  <si>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</si>
  <si>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</si>
  <si>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</si>
  <si>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</si>
  <si>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</si>
  <si>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</si>
  <si>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</si>
  <si>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</si>
  <si>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</si>
  <si>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</si>
  <si>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</si>
  <si>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</si>
  <si>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</si>
  <si>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</si>
  <si>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</si>
  <si>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</si>
  <si>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</si>
  <si>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</si>
  <si>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</si>
  <si>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</si>
  <si>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</si>
  <si>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</si>
  <si>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</si>
  <si>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</si>
  <si>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</si>
  <si>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</si>
  <si>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</si>
  <si>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</si>
  <si>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</si>
  <si>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</si>
  <si>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</si>
  <si>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</si>
  <si>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</si>
  <si>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</si>
  <si>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</si>
  <si>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</si>
  <si>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</si>
  <si>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</si>
  <si>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</si>
  <si>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</si>
  <si>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</si>
  <si>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</si>
  <si>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</si>
  <si>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</si>
  <si>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</si>
  <si>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</si>
  <si>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</si>
  <si>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</si>
  <si>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</si>
  <si>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</si>
  <si>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</si>
  <si>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</si>
  <si>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</si>
  <si>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</si>
  <si>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</si>
  <si>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</si>
  <si>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</si>
  <si>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</si>
  <si>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</si>
  <si>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</si>
  <si>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</si>
  <si>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</si>
  <si>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</si>
  <si>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</si>
  <si>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</si>
  <si>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</si>
  <si>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</si>
  <si>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</si>
  <si>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</si>
  <si>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</si>
  <si>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</si>
  <si>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</si>
  <si>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</si>
  <si>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</si>
  <si>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</si>
  <si>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</si>
  <si>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</si>
  <si>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</si>
  <si>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</si>
  <si>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</si>
  <si>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</si>
  <si>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</si>
  <si>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</si>
  <si>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</si>
  <si>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</si>
  <si>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</si>
  <si>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</si>
  <si>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</si>
  <si>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</si>
  <si>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</si>
  <si>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</si>
  <si>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</si>
  <si>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</si>
  <si>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</si>
  <si>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</si>
  <si>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</si>
  <si>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</si>
  <si>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</si>
  <si>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</si>
  <si>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</si>
  <si>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</si>
  <si>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</si>
  <si>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</si>
  <si>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</si>
  <si>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</si>
  <si>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</si>
  <si>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</si>
  <si>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</si>
  <si>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</si>
  <si>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</si>
  <si>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</si>
  <si>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</si>
  <si>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</si>
  <si>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</si>
  <si>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</si>
  <si>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</si>
  <si>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</si>
  <si>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</si>
  <si>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</si>
  <si>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</si>
  <si>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</si>
  <si>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</si>
  <si>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</si>
  <si>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</si>
  <si>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</si>
  <si>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</si>
  <si>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</si>
  <si>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</si>
  <si>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</si>
  <si>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</si>
  <si>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</si>
  <si>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</si>
  <si>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</si>
  <si>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</si>
  <si>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</si>
  <si>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</si>
  <si>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</si>
  <si>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</si>
  <si>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</si>
  <si>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</si>
  <si>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</si>
  <si>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</si>
  <si>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</si>
  <si>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</si>
  <si>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</si>
  <si>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</si>
  <si>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</si>
  <si>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</si>
  <si>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</si>
  <si>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</si>
  <si>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</si>
  <si>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</si>
  <si>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</si>
  <si>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</si>
  <si>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</si>
  <si>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</si>
  <si>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</si>
  <si>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</si>
  <si>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</si>
  <si>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</si>
  <si>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</si>
  <si>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</si>
  <si>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</si>
  <si>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</si>
  <si>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</si>
  <si>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</si>
  <si>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</si>
  <si>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</si>
  <si>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</si>
  <si>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</si>
  <si>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</si>
  <si>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</si>
  <si>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</si>
  <si>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</si>
  <si>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</si>
  <si>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</si>
  <si>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</si>
  <si>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</si>
  <si>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</si>
  <si>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</si>
  <si>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</si>
  <si>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</si>
  <si>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</si>
  <si>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</si>
  <si>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</si>
  <si>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</si>
  <si>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</si>
  <si>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</si>
  <si>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</si>
  <si>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</si>
  <si>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</si>
  <si>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</si>
  <si>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</si>
  <si>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</si>
  <si>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</si>
  <si>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</si>
  <si>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</si>
  <si>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</si>
  <si>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</si>
  <si>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</si>
  <si>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</si>
  <si>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</si>
  <si>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</si>
  <si>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</si>
  <si>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</si>
  <si>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</si>
  <si>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</si>
  <si>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</si>
  <si>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</si>
  <si>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</si>
  <si>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</si>
  <si>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</si>
  <si>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</si>
  <si>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</si>
  <si>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</si>
  <si>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</si>
  <si>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</si>
  <si>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</si>
  <si>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</si>
  <si>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</si>
  <si>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</si>
  <si>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</si>
  <si>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</si>
  <si>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</si>
  <si>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</si>
  <si>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</si>
  <si>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</si>
  <si>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</si>
  <si>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</si>
  <si>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</si>
  <si>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</si>
  <si>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</si>
  <si>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</si>
  <si>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</si>
  <si>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</si>
  <si>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</si>
  <si>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</si>
  <si>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</si>
  <si>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</si>
  <si>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</si>
  <si>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</si>
  <si>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</si>
  <si>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</si>
  <si>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</si>
  <si>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</si>
  <si>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</si>
  <si>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</si>
  <si>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</si>
  <si>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</si>
  <si>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</si>
  <si>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</si>
  <si>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</si>
  <si>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</si>
  <si>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</si>
  <si>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</si>
  <si>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</si>
  <si>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</si>
  <si>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</si>
  <si>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</si>
  <si>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</si>
  <si>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</si>
  <si>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</si>
  <si>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</si>
  <si>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</si>
  <si>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</si>
  <si>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</si>
  <si>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</si>
  <si>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</si>
  <si>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</si>
  <si>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</si>
  <si>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</si>
  <si>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</si>
  <si>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</si>
  <si>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</si>
  <si>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</si>
  <si>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</si>
  <si>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</si>
  <si>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</si>
  <si>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</si>
  <si>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</si>
  <si>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</si>
  <si>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</si>
  <si>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</si>
  <si>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</si>
  <si>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</si>
  <si>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</si>
  <si>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</si>
  <si>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</si>
  <si>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</si>
  <si>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</si>
  <si>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</si>
  <si>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</si>
  <si>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</si>
  <si>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</si>
  <si>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</si>
  <si>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</si>
  <si>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</si>
  <si>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</si>
  <si>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</si>
  <si>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</si>
  <si>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</si>
  <si>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</si>
  <si>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</si>
  <si>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</si>
  <si>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</si>
  <si>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</si>
  <si>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</si>
  <si>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</si>
  <si>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</si>
  <si>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</si>
  <si>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</si>
  <si>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</si>
  <si>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</si>
  <si>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</si>
  <si>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</si>
  <si>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</si>
  <si>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</si>
  <si>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</si>
  <si>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</si>
  <si>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</si>
  <si>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</si>
  <si>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</si>
  <si>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</si>
  <si>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</si>
  <si>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</si>
  <si>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</si>
  <si>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</si>
  <si>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</si>
  <si>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</si>
  <si>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</si>
  <si>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</si>
  <si>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</si>
  <si>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</si>
  <si>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</si>
  <si>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</si>
  <si>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</si>
  <si>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</si>
  <si>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</si>
  <si>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</si>
  <si>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</si>
  <si>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</si>
  <si>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</si>
  <si>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</si>
  <si>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</si>
  <si>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</si>
  <si>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</si>
  <si>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</si>
  <si>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</si>
  <si>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</si>
  <si>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</si>
  <si>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</si>
  <si>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</si>
  <si>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</si>
  <si>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</si>
  <si>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</si>
  <si>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</si>
  <si>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</si>
  <si>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</si>
  <si>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</si>
  <si>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</si>
  <si>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</si>
  <si>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</si>
  <si>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</si>
  <si>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</si>
  <si>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</si>
  <si>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</si>
  <si>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</si>
  <si>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</si>
  <si>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</si>
  <si>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</si>
  <si>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</si>
  <si>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</si>
  <si>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</si>
  <si>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</si>
  <si>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</si>
  <si>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</si>
  <si>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</si>
  <si>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</si>
  <si>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</si>
  <si>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</si>
  <si>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</si>
  <si>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</si>
  <si>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</si>
  <si>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</si>
  <si>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</si>
  <si>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</si>
  <si>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</si>
  <si>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</si>
  <si>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</si>
  <si>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</si>
  <si>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</si>
  <si>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</si>
  <si>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</si>
  <si>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</si>
  <si>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</si>
  <si>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</si>
  <si>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</si>
  <si>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</si>
  <si>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</si>
  <si>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</si>
  <si>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</si>
  <si>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</si>
  <si>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</si>
  <si>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</si>
  <si>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</si>
  <si>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</si>
  <si>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</si>
  <si>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</si>
  <si>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</si>
  <si>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</si>
  <si>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</si>
  <si>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</si>
  <si>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</si>
  <si>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</si>
  <si>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</si>
  <si>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</si>
  <si>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</si>
  <si>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</si>
  <si>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</si>
  <si>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</si>
  <si>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</si>
  <si>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</si>
  <si>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</si>
  <si>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</si>
  <si>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</si>
  <si>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</si>
  <si>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</si>
  <si>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</si>
  <si>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</si>
  <si>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</si>
  <si>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</si>
  <si>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</si>
  <si>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</si>
  <si>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</si>
  <si>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</si>
  <si>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</si>
  <si>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</si>
  <si>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</si>
  <si>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</si>
  <si>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</si>
  <si>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</si>
  <si>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</si>
  <si>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</si>
  <si>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</si>
  <si>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</si>
  <si>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</si>
  <si>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</si>
  <si>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</si>
  <si>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</si>
  <si>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</si>
  <si>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</si>
  <si>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</si>
  <si>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</si>
  <si>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</si>
  <si>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</si>
  <si>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</si>
  <si>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</si>
  <si>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</si>
  <si>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</si>
  <si>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</si>
  <si>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</si>
  <si>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</si>
  <si>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</si>
  <si>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</si>
  <si>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</si>
  <si>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</si>
  <si>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</si>
  <si>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</si>
  <si>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</si>
  <si>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</si>
  <si>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</si>
  <si>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</si>
  <si>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</si>
  <si>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</si>
  <si>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</si>
  <si>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</si>
  <si>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</si>
  <si>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</si>
  <si>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</si>
  <si>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</si>
  <si>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</si>
  <si>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</si>
  <si>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</si>
  <si>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</si>
  <si>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</si>
  <si>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</si>
  <si>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</si>
  <si>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</si>
  <si>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</si>
  <si>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</si>
  <si>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</si>
  <si>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</si>
  <si>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</si>
  <si>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</si>
  <si>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</si>
  <si>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</si>
  <si>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</si>
  <si>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</si>
  <si>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</si>
  <si>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</si>
  <si>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</si>
  <si>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</si>
  <si>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</si>
  <si>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</si>
  <si>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</si>
  <si>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</si>
  <si>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</si>
  <si>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</si>
  <si>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</si>
  <si>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</si>
  <si>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</si>
  <si>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</si>
  <si>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</si>
  <si>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</si>
  <si>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</si>
  <si>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</si>
  <si>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</si>
  <si>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</si>
  <si>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</si>
  <si>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</si>
  <si>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</si>
  <si>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</si>
  <si>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</si>
  <si>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</si>
  <si>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</si>
  <si>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</si>
  <si>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</si>
  <si>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</si>
  <si>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</si>
  <si>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</si>
  <si>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</si>
  <si>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</si>
  <si>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</si>
  <si>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</si>
  <si>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</si>
  <si>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</si>
  <si>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</si>
  <si>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</si>
  <si>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</si>
  <si>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</si>
  <si>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</si>
  <si>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</si>
  <si>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</si>
  <si>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</si>
  <si>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</si>
  <si>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</si>
  <si>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</si>
  <si>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</si>
  <si>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</si>
  <si>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</si>
  <si>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</si>
  <si>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</si>
  <si>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</si>
  <si>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</si>
  <si>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</si>
  <si>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</si>
  <si>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</si>
  <si>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</si>
  <si>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</si>
  <si>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</si>
  <si>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</si>
  <si>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</si>
  <si>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</si>
  <si>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</si>
  <si>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</si>
  <si>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</si>
  <si>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</si>
  <si>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</si>
  <si>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</si>
  <si>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</si>
  <si>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</si>
  <si>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</si>
  <si>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</si>
  <si>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</si>
  <si>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</si>
  <si>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</si>
  <si>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</si>
  <si>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</si>
  <si>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</si>
  <si>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</si>
  <si>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</si>
  <si>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</si>
  <si>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</si>
  <si>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</si>
  <si>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</si>
  <si>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</si>
  <si>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</si>
  <si>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</si>
  <si>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</si>
  <si>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</si>
  <si>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</si>
  <si>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</si>
  <si>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</si>
  <si>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</si>
  <si>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</si>
  <si>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</si>
  <si>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</si>
  <si>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</si>
  <si>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</si>
  <si>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</si>
  <si>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</si>
  <si>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</si>
  <si>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</si>
  <si>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</si>
  <si>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</si>
  <si>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</si>
  <si>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</si>
  <si>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</si>
  <si>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</si>
  <si>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</si>
  <si>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</si>
  <si>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</si>
  <si>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</si>
  <si>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</si>
  <si>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</si>
  <si>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</si>
  <si>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</si>
  <si>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</si>
  <si>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</si>
  <si>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</si>
  <si>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</si>
  <si>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</si>
  <si>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</si>
  <si>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</si>
  <si>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</si>
  <si>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</si>
  <si>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</si>
  <si>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</si>
  <si>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</si>
  <si>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</si>
  <si>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</si>
  <si>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</si>
  <si>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</si>
  <si>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</si>
  <si>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</si>
  <si>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</si>
  <si>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</si>
  <si>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</si>
  <si>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</si>
  <si>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</si>
  <si>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</si>
  <si>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</si>
  <si>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</si>
  <si>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</si>
  <si>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</si>
  <si>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</si>
  <si>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</si>
  <si>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</si>
  <si>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</si>
  <si>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</si>
  <si>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</si>
  <si>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</si>
  <si>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</si>
  <si>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</si>
  <si>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</si>
  <si>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</si>
  <si>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</si>
  <si>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</si>
  <si>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</si>
  <si>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</si>
  <si>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</si>
  <si>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</si>
  <si>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</si>
  <si>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</si>
  <si>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</si>
  <si>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</si>
  <si>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</si>
  <si>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</si>
  <si>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</si>
  <si>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</si>
  <si>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</si>
  <si>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</si>
  <si>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</si>
  <si>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</si>
  <si>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</si>
  <si>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</si>
  <si>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</si>
  <si>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</si>
  <si>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</si>
  <si>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</si>
  <si>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</si>
  <si>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</si>
  <si>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</si>
  <si>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</si>
  <si>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</si>
  <si>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</si>
  <si>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</si>
  <si>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</si>
  <si>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</si>
  <si>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</si>
  <si>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</si>
  <si>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</si>
  <si>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</si>
  <si>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</si>
  <si>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</si>
  <si>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</si>
  <si>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</si>
  <si>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</si>
  <si>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</si>
  <si>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</si>
  <si>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</si>
  <si>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</si>
  <si>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</si>
  <si>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</si>
  <si>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</si>
  <si>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</si>
  <si>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</si>
  <si>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</si>
  <si>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</si>
  <si>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</si>
  <si>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</si>
  <si>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</si>
  <si>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</si>
  <si>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</si>
  <si>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</si>
  <si>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</si>
  <si>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</si>
  <si>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</si>
  <si>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</si>
  <si>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</si>
  <si>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</si>
  <si>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</si>
  <si>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</si>
  <si>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</si>
  <si>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</si>
  <si>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</si>
  <si>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</si>
  <si>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</si>
  <si>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</si>
  <si>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</si>
  <si>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</si>
  <si>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</si>
  <si>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</si>
  <si>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</si>
  <si>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</si>
  <si>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</si>
  <si>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</si>
  <si>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</si>
  <si>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</si>
  <si>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</si>
  <si>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</si>
  <si>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</si>
  <si>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</si>
  <si>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</si>
  <si>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</si>
  <si>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</si>
  <si>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</si>
  <si>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</si>
  <si>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</si>
  <si>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</si>
  <si>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</si>
  <si>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</si>
  <si>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</si>
  <si>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</si>
  <si>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</si>
  <si>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</si>
  <si>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</si>
  <si>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</si>
  <si>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</si>
  <si>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</si>
  <si>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</si>
  <si>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</si>
  <si>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</si>
  <si>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</si>
  <si>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</si>
  <si>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</si>
  <si>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</si>
  <si>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</si>
  <si>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</si>
  <si>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</si>
  <si>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</si>
  <si>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</si>
  <si>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</si>
  <si>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</si>
  <si>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</si>
  <si>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</si>
  <si>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</si>
  <si>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</si>
  <si>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</si>
  <si>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</si>
  <si>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</si>
  <si>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</si>
  <si>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</si>
  <si>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</si>
  <si>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</si>
  <si>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</si>
  <si>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</si>
  <si>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</si>
  <si>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</si>
  <si>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</si>
  <si>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</si>
  <si>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</si>
  <si>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</si>
  <si>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</si>
  <si>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</si>
  <si>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</si>
  <si>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</si>
  <si>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</si>
  <si>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</si>
  <si>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</si>
  <si>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</si>
  <si>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</si>
  <si>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</si>
  <si>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</si>
  <si>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</si>
  <si>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</si>
  <si>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</si>
  <si>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</si>
  <si>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</si>
  <si>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</si>
  <si>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</si>
  <si>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</si>
  <si>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</si>
  <si>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</si>
  <si>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</si>
  <si>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</si>
  <si>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</si>
  <si>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</si>
  <si>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</si>
  <si>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</si>
  <si>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</si>
  <si>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</si>
  <si>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</si>
  <si>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</si>
  <si>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</si>
  <si>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</si>
  <si>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</si>
  <si>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</si>
  <si>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</si>
  <si>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</si>
  <si>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</si>
  <si>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</si>
  <si>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</si>
  <si>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</si>
  <si>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</si>
  <si>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</si>
  <si>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</si>
  <si>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</si>
  <si>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</si>
  <si>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</si>
  <si>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</si>
  <si>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</si>
  <si>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</si>
  <si>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</si>
  <si>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</si>
  <si>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</si>
  <si>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</si>
  <si>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</si>
  <si>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</si>
  <si>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</si>
  <si>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</si>
  <si>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</si>
  <si>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</si>
  <si>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</si>
  <si>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</si>
  <si>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</si>
  <si>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</si>
  <si>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</si>
  <si>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</si>
  <si>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</si>
  <si>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</si>
  <si>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</si>
  <si>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</si>
  <si>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</si>
  <si>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</si>
  <si>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</si>
  <si>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</si>
  <si>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</si>
  <si>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</si>
  <si>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</si>
  <si>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</si>
  <si>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</si>
  <si>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</si>
  <si>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</si>
  <si>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</si>
  <si>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</si>
  <si>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</si>
  <si>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</si>
  <si>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</si>
  <si>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</si>
  <si>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</si>
  <si>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</si>
  <si>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</si>
  <si>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</si>
  <si>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</si>
  <si>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</si>
  <si>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</si>
  <si>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</si>
  <si>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</si>
  <si>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</si>
  <si>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</si>
  <si>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</si>
  <si>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</si>
  <si>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</si>
  <si>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</si>
  <si>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</si>
  <si>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</si>
  <si>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</si>
  <si>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</si>
  <si>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</si>
  <si>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</si>
  <si>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</si>
  <si>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</si>
  <si>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</si>
  <si>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</si>
  <si>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</si>
  <si>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</si>
  <si>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</si>
  <si>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</si>
  <si>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</si>
  <si>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</si>
  <si>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</si>
  <si>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</si>
  <si>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</si>
  <si>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</si>
  <si>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</si>
  <si>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</si>
  <si>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</si>
  <si>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</si>
  <si>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</si>
  <si>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</si>
  <si>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</si>
  <si>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</si>
  <si>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</si>
  <si>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</si>
  <si>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</si>
  <si>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</si>
  <si>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</si>
  <si>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</si>
  <si>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</si>
  <si>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</si>
  <si>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</si>
  <si>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</si>
  <si>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</si>
  <si>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</si>
  <si>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</si>
  <si>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</si>
  <si>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</si>
  <si>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</si>
  <si>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</si>
  <si>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</si>
  <si>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</si>
  <si>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</si>
  <si>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</si>
  <si>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</si>
  <si>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</si>
  <si>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</si>
  <si>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</si>
  <si>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</si>
  <si>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</si>
  <si>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</si>
  <si>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</si>
  <si>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</si>
  <si>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</si>
  <si>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</si>
  <si>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</si>
  <si>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</si>
  <si>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</si>
  <si>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</si>
  <si>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</si>
  <si>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</si>
  <si>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</si>
  <si>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</si>
  <si>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</si>
  <si>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</si>
  <si>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</si>
  <si>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</si>
  <si>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</si>
  <si>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</si>
  <si>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</si>
  <si>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</si>
  <si>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</si>
  <si>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</si>
  <si>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</si>
  <si>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</si>
  <si>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</si>
  <si>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</si>
  <si>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</si>
  <si>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</si>
  <si>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</si>
  <si>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</si>
  <si>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</si>
  <si>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</si>
  <si>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</si>
  <si>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</si>
  <si>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</si>
  <si>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</si>
  <si>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</si>
  <si>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</si>
  <si>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</si>
  <si>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</si>
  <si>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</si>
  <si>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</si>
  <si>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</si>
  <si>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</si>
  <si>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</si>
  <si>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</si>
  <si>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</si>
  <si>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</si>
  <si>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</si>
  <si>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</si>
  <si>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</si>
  <si>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</si>
  <si>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</si>
  <si>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</si>
  <si>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</si>
  <si>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</si>
  <si>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</si>
  <si>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</si>
  <si>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</si>
  <si>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</si>
  <si>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</si>
  <si>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</si>
  <si>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</si>
  <si>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</si>
  <si>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</si>
  <si>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</si>
  <si>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</si>
  <si>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</si>
  <si>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</si>
  <si>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</si>
  <si>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</si>
  <si>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</si>
  <si>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</si>
  <si>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</si>
  <si>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</si>
  <si>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</si>
  <si>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</si>
  <si>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</si>
  <si>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</si>
  <si>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</si>
  <si>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</si>
  <si>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</si>
  <si>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</si>
  <si>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</si>
  <si>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</si>
  <si>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</si>
  <si>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</si>
  <si>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</si>
  <si>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</si>
  <si>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</si>
  <si>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</si>
  <si>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</si>
  <si>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</si>
  <si>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</si>
  <si>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</si>
  <si>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</si>
  <si>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</si>
  <si>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</si>
  <si>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</si>
  <si>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</si>
  <si>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</si>
  <si>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</si>
  <si>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</si>
  <si>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</si>
  <si>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</si>
  <si>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</si>
  <si>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</si>
  <si>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</si>
  <si>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</si>
  <si>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</si>
  <si>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</si>
  <si>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</si>
  <si>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</si>
  <si>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</si>
  <si>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</si>
  <si>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</si>
  <si>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</si>
  <si>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</si>
  <si>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</si>
  <si>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</si>
  <si>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</si>
  <si>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</si>
  <si>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</si>
  <si>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</si>
  <si>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</si>
  <si>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</si>
  <si>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</si>
  <si>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</si>
  <si>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</si>
  <si>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</si>
  <si>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</si>
  <si>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</si>
  <si>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</si>
  <si>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</si>
  <si>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</si>
  <si>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</si>
  <si>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</si>
  <si>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</si>
  <si>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</si>
  <si>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</si>
  <si>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</si>
  <si>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</si>
  <si>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</si>
  <si>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</si>
  <si>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</si>
  <si>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</si>
  <si>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</si>
  <si>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</si>
  <si>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</si>
  <si>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</si>
  <si>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</si>
  <si>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</si>
  <si>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</si>
  <si>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</si>
  <si>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</si>
  <si>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</si>
  <si>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</si>
  <si>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</si>
  <si>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</si>
  <si>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</si>
  <si>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</si>
  <si>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</si>
  <si>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</si>
  <si>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</si>
  <si>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</si>
  <si>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</si>
  <si>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</si>
  <si>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</si>
  <si>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</si>
  <si>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</si>
  <si>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</si>
  <si>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</si>
  <si>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</si>
  <si>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</si>
  <si>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</si>
  <si>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</si>
  <si>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</si>
  <si>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</si>
  <si>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</si>
  <si>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</si>
  <si>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</si>
  <si>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</si>
  <si>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</si>
  <si>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</si>
  <si>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</si>
  <si>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</si>
  <si>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</si>
  <si>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</si>
  <si>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</si>
  <si>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</si>
  <si>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</si>
  <si>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</si>
  <si>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</si>
  <si>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</si>
  <si>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</si>
  <si>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</si>
  <si>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</si>
  <si>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</si>
  <si>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</si>
  <si>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</si>
  <si>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</si>
  <si>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</si>
  <si>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</si>
  <si>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</si>
  <si>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</si>
  <si>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</si>
  <si>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</si>
  <si>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</si>
  <si>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</si>
  <si>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</si>
  <si>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</si>
  <si>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</si>
  <si>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</si>
  <si>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</si>
  <si>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</si>
  <si>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</si>
  <si>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</si>
  <si>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</si>
  <si>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</si>
  <si>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</si>
  <si>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</si>
  <si>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</si>
  <si>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</si>
  <si>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</si>
  <si>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</si>
  <si>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</si>
  <si>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</si>
  <si>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</si>
  <si>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</si>
  <si>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</si>
  <si>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</si>
  <si>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</si>
  <si>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</si>
  <si>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</si>
  <si>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</si>
  <si>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</si>
  <si>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</si>
  <si>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</si>
  <si>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</si>
  <si>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</si>
  <si>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</si>
  <si>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</si>
  <si>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</si>
  <si>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</si>
  <si>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</si>
  <si>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</si>
  <si>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</si>
  <si>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</si>
  <si>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</si>
  <si>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</si>
  <si>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</si>
  <si>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</si>
  <si>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</si>
  <si>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</si>
  <si>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</si>
  <si>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</si>
  <si>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</si>
  <si>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</si>
  <si>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</si>
  <si>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</si>
  <si>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</si>
  <si>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</si>
  <si>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</si>
  <si>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</si>
  <si>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</si>
  <si>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</si>
  <si>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</si>
  <si>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</si>
  <si>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</si>
  <si>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</si>
  <si>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</si>
  <si>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</si>
  <si>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</si>
  <si>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</si>
  <si>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</si>
  <si>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</si>
  <si>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</si>
  <si>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</si>
  <si>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</si>
  <si>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</si>
  <si>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</si>
  <si>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</si>
  <si>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</si>
  <si>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</si>
  <si>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</si>
  <si>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</si>
  <si>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</si>
  <si>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</si>
  <si>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</si>
  <si>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</si>
  <si>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</si>
  <si>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</si>
  <si>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</si>
  <si>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</si>
  <si>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</si>
  <si>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</si>
  <si>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</si>
  <si>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</si>
  <si>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</si>
  <si>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</si>
  <si>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</si>
  <si>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</si>
  <si>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</si>
  <si>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</si>
  <si>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</si>
  <si>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</si>
  <si>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</si>
  <si>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</si>
  <si>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</si>
  <si>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</si>
  <si>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</si>
  <si>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</si>
  <si>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</si>
  <si>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</si>
  <si>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</si>
  <si>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</si>
  <si>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</si>
  <si>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</si>
  <si>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</si>
  <si>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</si>
  <si>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</si>
  <si>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</si>
  <si>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</si>
  <si>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</si>
  <si>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</si>
  <si>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</si>
  <si>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</si>
  <si>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</si>
  <si>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</si>
  <si>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</si>
  <si>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</si>
  <si>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</si>
  <si>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</si>
  <si>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</si>
  <si>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</si>
  <si>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</si>
  <si>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</si>
  <si>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</si>
  <si>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</si>
  <si>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</si>
  <si>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</si>
  <si>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</si>
  <si>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</si>
  <si>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</si>
  <si>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</si>
  <si>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</si>
  <si>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</si>
  <si>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</si>
  <si>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</si>
  <si>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</si>
  <si>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</si>
  <si>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</si>
  <si>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</si>
  <si>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</si>
  <si>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</si>
  <si>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</si>
  <si>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</si>
  <si>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</si>
  <si>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</si>
  <si>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</si>
  <si>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</si>
  <si>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</si>
  <si>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</si>
  <si>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</si>
  <si>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</si>
  <si>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</si>
  <si>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</si>
  <si>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</si>
  <si>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</si>
  <si>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</si>
  <si>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</si>
  <si>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</si>
  <si>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</si>
  <si>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</si>
  <si>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</si>
  <si>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</si>
  <si>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</si>
  <si>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</si>
  <si>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</si>
  <si>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</si>
  <si>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</si>
  <si>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</si>
  <si>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</si>
  <si>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</si>
  <si>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</si>
  <si>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</si>
  <si>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</si>
  <si>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</si>
  <si>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</si>
  <si>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</si>
  <si>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</si>
  <si>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</si>
  <si>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</si>
  <si>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</si>
  <si>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</si>
  <si>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</si>
  <si>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</si>
  <si>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</si>
  <si>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</si>
  <si>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</si>
  <si>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</si>
  <si>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</si>
  <si>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</si>
  <si>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</si>
  <si>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</si>
  <si>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</si>
  <si>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</si>
  <si>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</si>
  <si>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</si>
  <si>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</si>
  <si>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</si>
  <si>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</si>
  <si>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</si>
  <si>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</si>
  <si>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</si>
  <si>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</si>
  <si>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</si>
  <si>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</si>
  <si>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</si>
  <si>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</si>
  <si>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</si>
  <si>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</si>
  <si>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</si>
  <si>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</si>
  <si>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</si>
  <si>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</si>
  <si>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</si>
  <si>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</si>
  <si>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</si>
  <si>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</si>
  <si>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</si>
  <si>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</si>
  <si>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</si>
  <si>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</si>
  <si>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</si>
  <si>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</si>
  <si>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</si>
  <si>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</si>
  <si>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</si>
  <si>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</si>
  <si>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</si>
  <si>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</si>
  <si>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</si>
  <si>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</si>
  <si>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</si>
  <si>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</si>
  <si>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</si>
  <si>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</si>
  <si>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</si>
  <si>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</si>
  <si>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</si>
  <si>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</si>
  <si>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</si>
  <si>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</si>
  <si>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</si>
  <si>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</si>
  <si>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</si>
  <si>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</si>
  <si>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</si>
  <si>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</si>
  <si>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</si>
  <si>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</si>
  <si>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</si>
  <si>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</si>
  <si>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</si>
  <si>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</si>
  <si>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</si>
  <si>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</si>
  <si>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</si>
  <si>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</si>
  <si>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</si>
  <si>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</si>
  <si>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</si>
  <si>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</si>
  <si>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</si>
  <si>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</si>
  <si>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</si>
  <si>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</si>
  <si>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</si>
  <si>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</si>
  <si>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</si>
  <si>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</si>
  <si>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</si>
  <si>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</si>
  <si>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</si>
  <si>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</si>
  <si>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</si>
  <si>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</si>
  <si>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</si>
  <si>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</si>
  <si>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</si>
  <si>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</si>
  <si>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</si>
  <si>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</si>
  <si>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</si>
  <si>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</si>
  <si>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</si>
  <si>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</si>
  <si>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</si>
  <si>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</si>
  <si>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</si>
  <si>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</si>
  <si>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</si>
  <si>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</si>
  <si>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</si>
  <si>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</si>
  <si>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</si>
  <si>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</si>
  <si>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</si>
  <si>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</si>
  <si>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</si>
  <si>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</si>
  <si>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</si>
  <si>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</si>
  <si>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</si>
  <si>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</si>
  <si>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</si>
  <si>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</si>
  <si>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</si>
  <si>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</si>
  <si>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</si>
  <si>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</si>
  <si>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</si>
  <si>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</si>
  <si>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</si>
  <si>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</si>
  <si>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</si>
  <si>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</si>
  <si>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</si>
  <si>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</si>
  <si>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</si>
  <si>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</si>
  <si>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</si>
  <si>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</si>
  <si>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</si>
  <si>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</si>
  <si>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</si>
  <si>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</si>
  <si>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</si>
  <si>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</si>
  <si>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</si>
  <si>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</si>
  <si>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</si>
  <si>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</si>
  <si>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</si>
  <si>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</si>
  <si>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</si>
  <si>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</si>
  <si>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</si>
  <si>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</si>
  <si>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</si>
  <si>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</si>
  <si>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</si>
  <si>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</si>
  <si>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</si>
  <si>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</si>
  <si>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</si>
  <si>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</si>
  <si>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</si>
  <si>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</si>
  <si>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</si>
  <si>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</si>
  <si>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</si>
  <si>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</si>
  <si>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</si>
  <si>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</si>
  <si>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</si>
  <si>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</si>
  <si>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</si>
  <si>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</si>
  <si>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</si>
  <si>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</si>
  <si>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</si>
  <si>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</si>
  <si>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</si>
  <si>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</si>
  <si>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</si>
  <si>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</si>
  <si>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</si>
  <si>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</si>
  <si>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</si>
  <si>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</si>
  <si>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</si>
  <si>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</si>
  <si>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</si>
  <si>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</si>
  <si>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</si>
  <si>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</si>
  <si>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</si>
  <si>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</si>
  <si>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</si>
  <si>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</si>
  <si>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</si>
  <si>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</si>
  <si>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</si>
  <si>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</si>
  <si>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</si>
  <si>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</si>
  <si>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</si>
  <si>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</si>
  <si>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</si>
  <si>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</si>
  <si>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</si>
  <si>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</si>
  <si>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</si>
  <si>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</si>
  <si>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</si>
  <si>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</si>
  <si>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</si>
  <si>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</si>
  <si>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</si>
  <si>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</si>
  <si>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</si>
  <si>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</si>
  <si>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</si>
  <si>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</si>
  <si>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</si>
  <si>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</si>
  <si>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</si>
  <si>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</si>
  <si>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</si>
  <si>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</si>
  <si>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</si>
  <si>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</si>
  <si>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</si>
  <si>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</si>
  <si>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</si>
  <si>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</si>
  <si>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</si>
  <si>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</si>
  <si>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</si>
  <si>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</si>
  <si>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</si>
  <si>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</si>
  <si>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</si>
  <si>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</si>
  <si>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</si>
  <si>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</si>
  <si>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</si>
  <si>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</si>
  <si>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</si>
  <si>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</si>
  <si>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</si>
  <si>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</si>
  <si>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</si>
  <si>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</si>
  <si>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</si>
  <si>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</si>
  <si>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</si>
  <si>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</si>
  <si>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</si>
  <si>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</si>
  <si>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</si>
  <si>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</si>
  <si>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</si>
  <si>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</si>
  <si>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</si>
  <si>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</si>
  <si>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</si>
  <si>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</si>
  <si>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</si>
  <si>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</si>
  <si>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</si>
  <si>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</si>
  <si>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</si>
  <si>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</si>
  <si>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</si>
  <si>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</si>
  <si>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</si>
  <si>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</si>
  <si>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</si>
  <si>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</si>
  <si>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</si>
  <si>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</si>
  <si>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</si>
  <si>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</si>
  <si>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</si>
  <si>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</si>
  <si>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</si>
  <si>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</si>
  <si>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</si>
  <si>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</si>
  <si>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</si>
  <si>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</si>
  <si>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</si>
  <si>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</si>
  <si>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</si>
  <si>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</si>
  <si>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</si>
  <si>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</si>
  <si>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</si>
  <si>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</si>
  <si>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</si>
  <si>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</si>
  <si>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</si>
  <si>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</si>
  <si>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</si>
  <si>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</si>
  <si>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</si>
  <si>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</si>
  <si>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</si>
  <si>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</si>
  <si>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</si>
  <si>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</si>
  <si>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</si>
  <si>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</si>
  <si>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</si>
  <si>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</si>
  <si>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</si>
  <si>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</si>
  <si>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</si>
  <si>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</si>
  <si>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</si>
  <si>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</si>
  <si>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</si>
  <si>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</si>
  <si>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</si>
  <si>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</si>
  <si>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</si>
  <si>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</si>
  <si>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</si>
  <si>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</si>
  <si>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</si>
  <si>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</si>
  <si>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</si>
  <si>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</si>
  <si>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</si>
  <si>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</si>
  <si>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</si>
  <si>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</si>
  <si>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</si>
  <si>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</si>
  <si>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</si>
  <si>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</si>
  <si>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</si>
  <si>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</si>
  <si>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</si>
  <si>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</si>
  <si>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</si>
  <si>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</si>
  <si>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</si>
  <si>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</si>
  <si>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</si>
  <si>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</si>
  <si>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</si>
  <si>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</si>
  <si>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</si>
  <si>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</si>
  <si>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</si>
  <si>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</si>
  <si>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</si>
  <si>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</si>
  <si>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</si>
  <si>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</si>
  <si>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</si>
  <si>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</si>
  <si>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</si>
  <si>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</si>
  <si>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</si>
  <si>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</si>
  <si>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</si>
  <si>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</si>
  <si>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</si>
  <si>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</si>
  <si>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</si>
  <si>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</si>
  <si>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</si>
  <si>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</si>
  <si>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</si>
  <si>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</si>
  <si>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</si>
  <si>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</si>
  <si>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</si>
  <si>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</si>
  <si>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</si>
  <si>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</si>
  <si>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</si>
  <si>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</si>
  <si>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</si>
  <si>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</si>
  <si>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</si>
  <si>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</si>
  <si>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</si>
  <si>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</si>
  <si>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</si>
  <si>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</si>
  <si>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</si>
  <si>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</si>
  <si>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</si>
  <si>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</si>
  <si>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</si>
  <si>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</si>
  <si>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</si>
  <si>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</si>
  <si>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</si>
  <si>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</si>
  <si>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</si>
  <si>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</si>
  <si>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</si>
  <si>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</si>
  <si>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</si>
  <si>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</si>
  <si>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</si>
  <si>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</si>
  <si>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</si>
  <si>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</si>
  <si>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</si>
  <si>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</si>
  <si>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</si>
  <si>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</si>
  <si>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</si>
  <si>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</si>
  <si>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</si>
  <si>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</si>
  <si>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</si>
  <si>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</si>
  <si>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</si>
  <si>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</si>
  <si>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</si>
  <si>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</si>
  <si>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</si>
  <si>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</si>
  <si>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</si>
  <si>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</si>
  <si>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</si>
  <si>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</si>
  <si>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</si>
  <si>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</si>
  <si>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</si>
  <si>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</si>
  <si>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</si>
  <si>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</si>
  <si>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</si>
  <si>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</si>
  <si>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</si>
  <si>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</si>
  <si>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</si>
  <si>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</si>
  <si>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</si>
  <si>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</si>
  <si>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</si>
  <si>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</si>
  <si>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</si>
  <si>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</si>
  <si>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</si>
  <si>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</si>
  <si>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</si>
  <si>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</si>
  <si>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</si>
  <si>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</si>
  <si>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</si>
  <si>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</si>
  <si>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</si>
  <si>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</si>
  <si>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</si>
  <si>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</si>
  <si>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</si>
  <si>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</si>
  <si>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</si>
  <si>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</si>
  <si>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</si>
  <si>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</si>
  <si>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</si>
  <si>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</si>
  <si>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</si>
  <si>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</si>
  <si>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</si>
  <si>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</si>
  <si>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</si>
  <si>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</si>
  <si>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</si>
  <si>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</si>
  <si>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</si>
  <si>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</si>
  <si>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</si>
  <si>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</si>
  <si>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</si>
  <si>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</si>
  <si>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</si>
  <si>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</si>
  <si>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</si>
  <si>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</si>
  <si>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</si>
  <si>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</si>
  <si>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</si>
  <si>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</si>
  <si>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</si>
  <si>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</si>
  <si>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</si>
  <si>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</si>
  <si>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</si>
  <si>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</si>
  <si>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</si>
  <si>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</si>
  <si>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</si>
  <si>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</si>
  <si>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</si>
  <si>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</si>
  <si>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</si>
  <si>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</si>
  <si>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</si>
  <si>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</si>
  <si>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</si>
  <si>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</si>
  <si>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</si>
  <si>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</si>
  <si>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</si>
  <si>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</si>
  <si>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</si>
  <si>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</si>
  <si>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</si>
  <si>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</si>
  <si>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</si>
  <si>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</si>
  <si>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</si>
  <si>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</si>
  <si>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</si>
  <si>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</si>
  <si>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</si>
  <si>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</si>
  <si>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</si>
  <si>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</si>
  <si>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</si>
  <si>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</si>
  <si>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</si>
  <si>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</si>
  <si>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</si>
  <si>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</si>
  <si>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</si>
  <si>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</si>
  <si>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</si>
  <si>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</si>
  <si>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</si>
  <si>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</si>
  <si>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</si>
  <si>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</si>
  <si>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</si>
  <si>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</si>
  <si>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</si>
  <si>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</si>
  <si>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</si>
  <si>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</si>
  <si>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</si>
  <si>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</si>
  <si>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</si>
  <si>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</si>
  <si>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</si>
  <si>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</si>
  <si>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</si>
  <si>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</si>
  <si>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</si>
  <si>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</si>
  <si>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</si>
  <si>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</si>
  <si>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</si>
  <si>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</si>
  <si>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</si>
  <si>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</si>
  <si>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</si>
  <si>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</si>
  <si>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</si>
  <si>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</si>
  <si>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</si>
  <si>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</si>
  <si>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</si>
  <si>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</si>
  <si>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</si>
  <si>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</si>
  <si>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</si>
  <si>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</si>
  <si>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</si>
  <si>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</si>
  <si>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</si>
  <si>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</si>
  <si>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</si>
  <si>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</si>
  <si>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</si>
  <si>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</si>
  <si>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</si>
  <si>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</si>
  <si>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</si>
  <si>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</si>
  <si>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</si>
  <si>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</si>
  <si>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</si>
  <si>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</si>
  <si>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</si>
  <si>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</si>
  <si>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</si>
  <si>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</si>
  <si>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</si>
  <si>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</si>
  <si>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</si>
  <si>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</si>
  <si>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</si>
  <si>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</si>
  <si>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</si>
  <si>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</si>
  <si>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</si>
  <si>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</si>
  <si>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</si>
  <si>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</si>
  <si>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</si>
  <si>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</si>
  <si>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</si>
  <si>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</si>
  <si>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</si>
  <si>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</si>
  <si>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</si>
  <si>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</si>
  <si>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</si>
  <si>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</si>
  <si>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</si>
  <si>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</si>
  <si>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</si>
  <si>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</si>
  <si>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</si>
  <si>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</si>
  <si>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</si>
  <si>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</si>
  <si>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</si>
  <si>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</si>
  <si>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</si>
  <si>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</si>
  <si>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</si>
  <si>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</si>
  <si>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</si>
  <si>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</si>
  <si>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</si>
  <si>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</si>
  <si>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</si>
  <si>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</si>
  <si>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</si>
  <si>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</si>
  <si>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</si>
  <si>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</si>
  <si>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</si>
  <si>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</si>
  <si>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</si>
  <si>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</si>
  <si>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</si>
  <si>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</si>
  <si>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</si>
  <si>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</si>
  <si>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</si>
  <si>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</si>
  <si>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</si>
  <si>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</si>
  <si>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</si>
  <si>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</si>
  <si>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</si>
  <si>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</si>
  <si>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</si>
  <si>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</si>
  <si>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</si>
  <si>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</si>
  <si>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</si>
  <si>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</si>
  <si>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</si>
  <si>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</si>
  <si>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</si>
  <si>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</si>
  <si>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</si>
  <si>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</si>
  <si>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</si>
  <si>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</si>
  <si>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</si>
  <si>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</si>
  <si>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</si>
  <si>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</si>
  <si>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</si>
  <si>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</si>
  <si>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</si>
  <si>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</si>
  <si>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</si>
  <si>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</si>
  <si>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</si>
  <si>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</si>
  <si>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</si>
  <si>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</si>
  <si>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</si>
  <si>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</si>
  <si>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</si>
  <si>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</si>
  <si>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</si>
  <si>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</si>
  <si>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</si>
  <si>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</si>
  <si>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</si>
  <si>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</si>
  <si>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</si>
  <si>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</si>
  <si>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</si>
  <si>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</si>
  <si>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</si>
  <si>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</si>
  <si>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</si>
  <si>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</si>
  <si>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</si>
  <si>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</si>
  <si>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</si>
  <si>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</si>
  <si>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</si>
  <si>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</si>
  <si>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</si>
  <si>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</si>
  <si>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</si>
  <si>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</si>
  <si>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</si>
  <si>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</si>
  <si>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</si>
  <si>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</si>
  <si>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</si>
  <si>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</si>
  <si>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</si>
  <si>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</si>
  <si>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</si>
  <si>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</si>
  <si>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</si>
  <si>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</si>
  <si>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</si>
  <si>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</si>
  <si>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</si>
  <si>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</si>
  <si>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</si>
  <si>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</si>
  <si>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</si>
  <si>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</si>
  <si>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</si>
  <si>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</si>
  <si>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</si>
  <si>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</si>
  <si>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</si>
  <si>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</si>
  <si>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</si>
  <si>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</si>
  <si>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</si>
  <si>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</si>
  <si>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</si>
  <si>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</si>
  <si>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</si>
  <si>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</si>
  <si>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</si>
  <si>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</si>
  <si>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</si>
  <si>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</si>
  <si>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</si>
  <si>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</si>
  <si>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</si>
  <si>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</si>
  <si>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</si>
  <si>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</si>
  <si>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</si>
  <si>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</si>
  <si>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</si>
  <si>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</si>
  <si>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</si>
  <si>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</si>
  <si>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</si>
  <si>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</si>
  <si>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</si>
  <si>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</si>
  <si>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</si>
  <si>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</si>
  <si>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</si>
  <si>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</si>
  <si>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</si>
  <si>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</si>
  <si>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</si>
  <si>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</si>
  <si>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</si>
  <si>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</si>
  <si>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</si>
  <si>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</si>
  <si>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</si>
  <si>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</si>
  <si>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</si>
  <si>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</si>
  <si>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</si>
  <si>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</si>
  <si>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</si>
  <si>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</si>
  <si>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</si>
  <si>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</si>
  <si>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</si>
  <si>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</si>
  <si>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</si>
  <si>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</si>
  <si>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</si>
  <si>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</si>
  <si>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</si>
  <si>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</si>
  <si>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</si>
  <si>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</si>
  <si>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</si>
  <si>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</si>
  <si>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</si>
  <si>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</si>
  <si>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</si>
  <si>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</si>
  <si>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</si>
  <si>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</si>
  <si>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</si>
  <si>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</si>
  <si>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</si>
  <si>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</si>
  <si>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</si>
  <si>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</si>
  <si>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</si>
  <si>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</si>
  <si>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</si>
  <si>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</si>
  <si>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</si>
  <si>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</si>
  <si>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</si>
  <si>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</si>
  <si>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</si>
  <si>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</si>
  <si>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</si>
  <si>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</si>
  <si>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</si>
  <si>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</si>
  <si>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</si>
  <si>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</si>
  <si>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</si>
  <si>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</si>
  <si>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</si>
  <si>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</si>
  <si>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</si>
  <si>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</si>
  <si>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</si>
  <si>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</si>
  <si>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</si>
  <si>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</si>
  <si>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</si>
  <si>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</si>
  <si>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</si>
  <si>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</si>
  <si>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</si>
  <si>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</si>
  <si>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</si>
  <si>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</si>
  <si>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</si>
  <si>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</si>
  <si>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</si>
  <si>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</si>
  <si>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</si>
  <si>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</si>
  <si>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</si>
  <si>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</si>
  <si>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</si>
  <si>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</si>
  <si>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</si>
  <si>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</si>
  <si>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</si>
  <si>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</si>
  <si>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</si>
  <si>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</si>
  <si>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</si>
  <si>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</si>
  <si>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</si>
  <si>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</si>
  <si>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</si>
  <si>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</si>
  <si>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</si>
  <si>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</si>
  <si>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</si>
  <si>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</si>
  <si>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</si>
  <si>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</si>
  <si>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</si>
  <si>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</si>
  <si>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</si>
  <si>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</si>
  <si>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</si>
  <si>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</si>
  <si>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</si>
  <si>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</si>
  <si>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</si>
  <si>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</si>
  <si>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</si>
  <si>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</si>
  <si>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</si>
  <si>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</si>
  <si>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</si>
  <si>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</si>
  <si>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</si>
  <si>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</si>
  <si>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</si>
  <si>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</si>
  <si>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</si>
  <si>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</si>
  <si>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</si>
  <si>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</si>
  <si>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</si>
  <si>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</si>
  <si>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</si>
  <si>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</si>
  <si>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</si>
  <si>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</si>
  <si>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</si>
  <si>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</si>
  <si>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</si>
  <si>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</si>
  <si>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</si>
  <si>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</si>
  <si>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</si>
  <si>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</si>
  <si>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</si>
  <si>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</si>
  <si>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</si>
  <si>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</si>
  <si>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</si>
  <si>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</si>
  <si>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</si>
  <si>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</si>
  <si>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</si>
  <si>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</si>
  <si>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</si>
  <si>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</si>
  <si>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</si>
  <si>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</si>
  <si>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</si>
  <si>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</si>
  <si>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</si>
  <si>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</si>
  <si>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</si>
  <si>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</si>
  <si>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</si>
  <si>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</si>
  <si>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</si>
  <si>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</si>
  <si>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</si>
  <si>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</si>
  <si>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</si>
  <si>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</si>
  <si>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</si>
  <si>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</si>
  <si>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</si>
  <si>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</si>
  <si>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</si>
  <si>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</si>
  <si>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</si>
  <si>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</si>
  <si>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</si>
  <si>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</si>
  <si>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</si>
  <si>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</si>
  <si>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</si>
  <si>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</si>
  <si>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</si>
  <si>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</si>
  <si>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</si>
  <si>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</si>
  <si>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</si>
  <si>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</si>
  <si>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</si>
  <si>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</si>
  <si>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</si>
  <si>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</si>
  <si>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</si>
  <si>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</si>
  <si>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</si>
  <si>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</si>
  <si>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</si>
  <si>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</si>
  <si>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</si>
  <si>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</si>
  <si>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</si>
  <si>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</si>
  <si>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</si>
  <si>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</si>
  <si>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</si>
  <si>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</si>
  <si>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</si>
  <si>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</si>
  <si>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</si>
  <si>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</si>
  <si>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</si>
  <si>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</si>
  <si>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</si>
  <si>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</si>
  <si>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</si>
  <si>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</si>
  <si>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</si>
  <si>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</si>
  <si>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</si>
  <si>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</si>
  <si>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</si>
  <si>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</si>
  <si>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</si>
  <si>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</si>
  <si>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</si>
  <si>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</si>
  <si>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</si>
  <si>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</si>
  <si>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</si>
  <si>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</si>
  <si>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</si>
  <si>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</si>
  <si>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</si>
  <si>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</si>
  <si>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</si>
  <si>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</si>
  <si>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</si>
  <si>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</si>
  <si>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</si>
  <si>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</si>
  <si>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</si>
  <si>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</si>
  <si>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</si>
  <si>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</si>
  <si>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</si>
  <si>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</si>
  <si>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</si>
  <si>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</si>
  <si>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</si>
  <si>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</si>
  <si>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</si>
  <si>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</si>
  <si>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</si>
  <si>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</si>
  <si>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</si>
  <si>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</si>
  <si>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</si>
  <si>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</si>
  <si>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</si>
  <si>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</si>
  <si>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</si>
  <si>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</si>
  <si>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</si>
  <si>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</si>
  <si>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</si>
  <si>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</si>
  <si>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</si>
  <si>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</si>
  <si>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</si>
  <si>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</si>
  <si>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</si>
  <si>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</si>
  <si>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</si>
  <si>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</si>
  <si>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</si>
  <si>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</si>
  <si>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</si>
  <si>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</si>
  <si>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</si>
  <si>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</si>
  <si>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</si>
  <si>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</si>
  <si>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</si>
  <si>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</si>
  <si>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</si>
  <si>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</si>
  <si>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</si>
  <si>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</si>
  <si>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</si>
  <si>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</si>
  <si>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</si>
  <si>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</si>
  <si>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</si>
  <si>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</si>
  <si>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</si>
  <si>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</si>
  <si>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</si>
  <si>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</si>
  <si>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</si>
  <si>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</si>
  <si>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</si>
  <si>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</si>
  <si>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</si>
  <si>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</si>
  <si>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</si>
  <si>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</si>
  <si>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</si>
  <si>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</si>
  <si>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</si>
  <si>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</si>
  <si>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</si>
  <si>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</si>
  <si>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</si>
  <si>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</si>
  <si>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</si>
  <si>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</si>
  <si>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</si>
  <si>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</si>
  <si>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</si>
  <si>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</si>
  <si>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</si>
  <si>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</si>
  <si>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</si>
  <si>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</si>
  <si>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</si>
  <si>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</si>
  <si>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</si>
  <si>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</si>
  <si>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</si>
  <si>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</si>
  <si>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</si>
  <si>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</si>
  <si>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</si>
  <si>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</si>
  <si>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</si>
  <si>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</si>
  <si>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</si>
  <si>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</si>
  <si>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</si>
  <si>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</si>
  <si>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</si>
  <si>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</si>
  <si>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</si>
  <si>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</si>
  <si>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</si>
  <si>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</si>
  <si>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</si>
  <si>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</si>
  <si>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</si>
  <si>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</si>
  <si>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</si>
  <si>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</si>
  <si>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</si>
  <si>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</si>
  <si>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</si>
  <si>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</si>
  <si>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</si>
  <si>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</si>
  <si>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</si>
  <si>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</si>
  <si>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</si>
  <si>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</si>
  <si>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</si>
  <si>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</si>
  <si>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</si>
  <si>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</si>
  <si>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</si>
  <si>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</si>
  <si>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</si>
  <si>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</si>
  <si>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</si>
  <si>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</si>
  <si>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</si>
  <si>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</si>
  <si>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</si>
  <si>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</si>
  <si>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</si>
  <si>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</si>
  <si>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</si>
  <si>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</si>
  <si>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</si>
  <si>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</si>
  <si>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</si>
  <si>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</si>
  <si>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</si>
  <si>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</si>
  <si>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</si>
  <si>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</si>
  <si>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</si>
  <si>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</si>
  <si>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</si>
  <si>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</si>
  <si>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</si>
  <si>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</si>
  <si>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</si>
  <si>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</si>
  <si>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</si>
  <si>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</si>
  <si>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</si>
  <si>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</si>
  <si>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</si>
  <si>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</si>
  <si>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</si>
  <si>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</si>
  <si>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</si>
  <si>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</si>
  <si>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</si>
  <si>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</si>
  <si>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</si>
  <si>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</si>
  <si>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</si>
  <si>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</si>
  <si>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</si>
  <si>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</si>
  <si>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</si>
  <si>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</si>
  <si>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</si>
  <si>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</si>
  <si>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</si>
  <si>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</si>
  <si>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</si>
  <si>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</si>
  <si>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</si>
  <si>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</si>
  <si>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</si>
  <si>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</si>
  <si>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</si>
  <si>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</si>
  <si>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</si>
  <si>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</si>
  <si>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</si>
  <si>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</si>
  <si>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</si>
  <si>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</si>
  <si>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</si>
  <si>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</si>
  <si>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</si>
  <si>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</si>
  <si>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</si>
  <si>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</si>
  <si>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</si>
  <si>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</si>
  <si>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</si>
  <si>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</si>
  <si>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</si>
  <si>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</si>
  <si>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</si>
  <si>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</si>
  <si>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</si>
  <si>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</si>
  <si>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</si>
  <si>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</si>
  <si>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</si>
  <si>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</si>
  <si>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</si>
  <si>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</si>
  <si>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</si>
  <si>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</si>
  <si>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</si>
  <si>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</si>
  <si>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</si>
  <si>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</si>
  <si>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</si>
  <si>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</si>
  <si>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</si>
  <si>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</si>
  <si>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</si>
  <si>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</si>
  <si>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</si>
  <si>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</si>
  <si>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</si>
  <si>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</si>
  <si>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</si>
  <si>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</si>
  <si>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</si>
  <si>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</si>
  <si>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</si>
  <si>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</si>
  <si>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</si>
  <si>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</si>
  <si>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</si>
  <si>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</si>
  <si>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</si>
  <si>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</si>
  <si>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</si>
  <si>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</si>
  <si>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</si>
  <si>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</si>
  <si>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</si>
  <si>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</si>
  <si>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</si>
  <si>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</si>
  <si>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</si>
  <si>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</si>
  <si>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</si>
  <si>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</si>
  <si>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</si>
  <si>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</si>
  <si>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</si>
  <si>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</si>
  <si>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</si>
  <si>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</si>
  <si>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</si>
  <si>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</si>
  <si>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</si>
  <si>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</si>
  <si>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</si>
  <si>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</si>
  <si>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</si>
  <si>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</si>
  <si>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</si>
  <si>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</si>
  <si>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</si>
  <si>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</si>
  <si>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</si>
  <si>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</si>
  <si>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</si>
  <si>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</si>
  <si>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</si>
  <si>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</si>
  <si>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</si>
  <si>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</si>
  <si>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</si>
  <si>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</si>
  <si>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</si>
  <si>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</si>
  <si>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</si>
  <si>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</si>
  <si>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</si>
  <si>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</si>
  <si>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</si>
  <si>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</si>
  <si>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</si>
  <si>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</si>
  <si>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</si>
  <si>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</si>
  <si>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</si>
  <si>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</si>
  <si>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</si>
  <si>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</si>
  <si>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</si>
  <si>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</si>
  <si>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</si>
  <si>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</si>
  <si>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</si>
  <si>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</si>
  <si>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</si>
  <si>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</si>
  <si>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</si>
  <si>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</si>
  <si>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</si>
  <si>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</si>
  <si>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</si>
  <si>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</si>
  <si>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</si>
  <si>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</si>
  <si>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</si>
  <si>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</si>
  <si>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</si>
  <si>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</si>
  <si>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</si>
  <si>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</si>
  <si>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</si>
  <si>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</si>
  <si>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</si>
  <si>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</si>
  <si>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</si>
  <si>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</si>
  <si>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</si>
  <si>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</si>
  <si>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</si>
  <si>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</si>
  <si>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</si>
  <si>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</si>
  <si>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</si>
  <si>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</si>
  <si>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</si>
  <si>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</si>
  <si>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</si>
  <si>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</si>
  <si>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</si>
  <si>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</si>
  <si>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</si>
  <si>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</si>
  <si>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</si>
  <si>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</si>
  <si>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</si>
  <si>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</si>
  <si>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</si>
  <si>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</si>
  <si>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</si>
  <si>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</si>
  <si>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</si>
  <si>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</si>
  <si>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</si>
  <si>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</si>
  <si>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</si>
  <si>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</si>
  <si>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</si>
  <si>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</si>
  <si>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</si>
  <si>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</si>
  <si>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</si>
  <si>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</si>
  <si>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</si>
  <si>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</si>
  <si>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</si>
  <si>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</si>
  <si>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</si>
  <si>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</si>
  <si>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</si>
  <si>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</si>
  <si>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</si>
  <si>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</si>
  <si>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</si>
  <si>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</si>
  <si>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</si>
  <si>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</si>
  <si>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</si>
  <si>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</si>
  <si>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</si>
  <si>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</si>
  <si>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</si>
  <si>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</si>
  <si>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</si>
  <si>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</si>
  <si>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</si>
  <si>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</si>
  <si>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</si>
  <si>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</si>
  <si>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</si>
  <si>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</si>
  <si>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</si>
  <si>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</si>
  <si>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</si>
  <si>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</si>
  <si>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</si>
  <si>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</si>
  <si>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</si>
  <si>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</si>
  <si>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</si>
  <si>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</si>
  <si>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</si>
  <si>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</si>
  <si>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</si>
  <si>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</si>
  <si>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</si>
  <si>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</si>
  <si>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</si>
  <si>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</si>
  <si>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</si>
  <si>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</si>
  <si>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</si>
  <si>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</si>
  <si>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</si>
  <si>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</si>
  <si>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</si>
  <si>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</si>
  <si>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</si>
  <si>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</si>
  <si>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</si>
  <si>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</si>
  <si>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</si>
  <si>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</si>
  <si>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</si>
  <si>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</si>
  <si>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</si>
  <si>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</si>
  <si>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</si>
  <si>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</si>
  <si>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</si>
  <si>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</si>
  <si>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</si>
  <si>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</si>
  <si>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</si>
  <si>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</si>
  <si>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</si>
  <si>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</si>
  <si>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</si>
  <si>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</si>
  <si>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</si>
  <si>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</si>
  <si>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</si>
  <si>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</si>
  <si>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</si>
  <si>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</si>
  <si>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</si>
  <si>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</si>
  <si>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</si>
  <si>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</si>
  <si>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</si>
  <si>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</si>
  <si>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</si>
  <si>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</si>
  <si>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</si>
  <si>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</si>
  <si>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</si>
  <si>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</si>
  <si>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</si>
  <si>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</si>
  <si>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</si>
  <si>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</si>
  <si>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</si>
  <si>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</si>
  <si>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</si>
  <si>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</si>
  <si>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</si>
  <si>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</si>
  <si>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</si>
  <si>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</si>
  <si>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</si>
  <si>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</si>
  <si>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</si>
  <si>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</si>
  <si>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</si>
  <si>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</si>
  <si>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</si>
  <si>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</si>
  <si>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</si>
  <si>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</si>
  <si>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</si>
  <si>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</si>
  <si>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</si>
  <si>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</si>
  <si>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</si>
  <si>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</si>
  <si>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</si>
  <si>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</si>
  <si>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</si>
  <si>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</si>
  <si>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</si>
  <si>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</si>
  <si>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</si>
  <si>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</si>
  <si>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</si>
  <si>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</si>
  <si>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</si>
  <si>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</si>
  <si>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</si>
  <si>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</si>
  <si>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</si>
  <si>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</si>
  <si>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</si>
  <si>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</si>
  <si>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</si>
  <si>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</si>
  <si>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</si>
  <si>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</si>
  <si>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</si>
  <si>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</si>
  <si>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</si>
  <si>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</si>
  <si>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</si>
  <si>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</si>
  <si>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</si>
  <si>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</si>
  <si>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</si>
  <si>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</si>
  <si>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</si>
  <si>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</si>
  <si>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</si>
  <si>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</si>
  <si>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</si>
  <si>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</si>
  <si>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</si>
  <si>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</si>
  <si>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</si>
  <si>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</si>
  <si>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</si>
  <si>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</si>
  <si>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</si>
  <si>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</si>
  <si>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</si>
  <si>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</si>
  <si>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</si>
  <si>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</si>
  <si>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</si>
  <si>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</si>
  <si>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</si>
  <si>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</si>
  <si>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</si>
  <si>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</si>
  <si>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</si>
  <si>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</si>
  <si>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</si>
  <si>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</si>
  <si>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</si>
  <si>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</si>
  <si>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</si>
  <si>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</si>
  <si>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</si>
  <si>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</si>
  <si>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</si>
  <si>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</si>
  <si>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</si>
  <si>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</si>
  <si>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</si>
  <si>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</si>
  <si>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</si>
  <si>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</si>
  <si>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</si>
  <si>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</si>
  <si>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</si>
  <si>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</si>
  <si>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</si>
  <si>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</si>
  <si>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</si>
  <si>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</si>
  <si>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</si>
  <si>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</si>
  <si>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</si>
  <si>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</si>
  <si>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</si>
  <si>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</si>
  <si>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</si>
  <si>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</si>
  <si>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</si>
  <si>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</si>
  <si>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</si>
  <si>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</si>
  <si>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</si>
  <si>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</si>
  <si>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</si>
  <si>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</si>
  <si>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</si>
  <si>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</si>
  <si>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</si>
  <si>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</si>
  <si>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</si>
  <si>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</si>
  <si>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</si>
  <si>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</si>
  <si>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</si>
  <si>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</si>
  <si>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</si>
  <si>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</si>
  <si>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</si>
  <si>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</si>
  <si>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</si>
  <si>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</si>
  <si>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</si>
  <si>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</si>
  <si>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</si>
  <si>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</si>
  <si>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</si>
  <si>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</si>
  <si>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</si>
  <si>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</si>
  <si>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</si>
  <si>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</si>
  <si>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</si>
  <si>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</si>
  <si>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</si>
  <si>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</si>
  <si>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</si>
  <si>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</si>
  <si>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</si>
  <si>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</si>
  <si>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</si>
  <si>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</si>
  <si>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</si>
  <si>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</si>
  <si>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</si>
  <si>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</si>
  <si>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</si>
  <si>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</si>
  <si>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</si>
  <si>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</si>
  <si>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</si>
  <si>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</si>
  <si>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</si>
  <si>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</si>
  <si>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</si>
  <si>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</si>
  <si>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</si>
  <si>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</si>
  <si>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</si>
  <si>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</si>
  <si>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</si>
  <si>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</si>
  <si>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</si>
  <si>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</si>
  <si>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</si>
  <si>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</si>
  <si>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</si>
  <si>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</si>
  <si>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</si>
  <si>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</si>
  <si>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</si>
  <si>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</si>
  <si>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</si>
  <si>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</si>
  <si>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</si>
  <si>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</si>
  <si>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</si>
  <si>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</si>
  <si>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</si>
  <si>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</si>
  <si>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</si>
  <si>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</si>
  <si>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</si>
  <si>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</si>
  <si>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</si>
  <si>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</si>
  <si>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</si>
  <si>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</si>
  <si>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</si>
  <si>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</si>
  <si>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</si>
  <si>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</si>
  <si>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</si>
  <si>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</si>
  <si>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</si>
  <si>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</si>
  <si>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</si>
  <si>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</si>
  <si>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</si>
  <si>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</si>
  <si>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</si>
  <si>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</si>
  <si>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</si>
  <si>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</si>
  <si>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</si>
  <si>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</si>
  <si>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</si>
  <si>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</si>
  <si>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</si>
  <si>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</si>
  <si>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</si>
  <si>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</si>
  <si>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</si>
  <si>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</si>
  <si>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</si>
  <si>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</si>
  <si>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</si>
  <si>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</si>
  <si>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</si>
  <si>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</si>
  <si>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</si>
  <si>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</si>
  <si>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</si>
  <si>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</si>
  <si>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</si>
  <si>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</si>
  <si>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</si>
  <si>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</si>
  <si>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</si>
  <si>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</si>
  <si>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</si>
  <si>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</si>
  <si>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</si>
  <si>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</si>
  <si>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</si>
  <si>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</si>
  <si>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</si>
  <si>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</si>
  <si>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</si>
  <si>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</si>
  <si>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</si>
  <si>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</si>
  <si>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</si>
  <si>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</si>
  <si>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</si>
  <si>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</si>
  <si>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</si>
  <si>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</si>
  <si>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</si>
  <si>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</si>
  <si>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</si>
  <si>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</si>
  <si>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</si>
  <si>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</si>
  <si>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</si>
  <si>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</si>
  <si>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</si>
  <si>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</si>
  <si>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</si>
  <si>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</si>
  <si>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</si>
  <si>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</si>
  <si>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</si>
  <si>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</si>
  <si>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</si>
  <si>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</si>
  <si>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</si>
  <si>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</si>
  <si>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</si>
  <si>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</si>
  <si>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</si>
  <si>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</si>
  <si>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</si>
  <si>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</si>
  <si>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</si>
  <si>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</si>
  <si>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</si>
  <si>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</si>
  <si>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</si>
  <si>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</si>
  <si>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</si>
  <si>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</si>
  <si>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</si>
  <si>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</si>
  <si>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</si>
  <si>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</si>
  <si>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</si>
  <si>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</si>
  <si>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</si>
  <si>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</si>
  <si>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</si>
  <si>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</si>
  <si>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</si>
  <si>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</si>
  <si>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</si>
  <si>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</si>
  <si>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</si>
  <si>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</si>
  <si>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</si>
  <si>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</si>
  <si>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</si>
  <si>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</si>
  <si>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</si>
  <si>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</si>
  <si>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</si>
  <si>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</si>
  <si>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</si>
  <si>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</si>
  <si>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</si>
  <si>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</si>
  <si>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</si>
  <si>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</si>
  <si>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</si>
  <si>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</si>
  <si>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</si>
  <si>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</si>
  <si>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</si>
  <si>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</si>
  <si>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</si>
  <si>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</si>
  <si>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</si>
  <si>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</si>
  <si>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</si>
  <si>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</si>
  <si>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</si>
  <si>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</si>
  <si>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</si>
  <si>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</si>
  <si>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</si>
  <si>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</si>
  <si>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</si>
  <si>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</si>
  <si>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</si>
  <si>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</si>
  <si>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</si>
  <si>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</si>
  <si>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</si>
  <si>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</si>
  <si>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</si>
  <si>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</si>
  <si>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</si>
  <si>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</si>
  <si>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</si>
  <si>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</si>
  <si>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</si>
  <si>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</si>
  <si>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</si>
  <si>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</si>
  <si>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</si>
  <si>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</si>
  <si>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</si>
  <si>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</si>
  <si>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</si>
  <si>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</si>
  <si>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</si>
  <si>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</si>
  <si>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</si>
  <si>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</si>
  <si>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</si>
  <si>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</si>
  <si>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</si>
  <si>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</si>
  <si>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</si>
  <si>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</si>
  <si>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</si>
  <si>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</si>
  <si>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</si>
  <si>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</si>
  <si>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</si>
  <si>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</si>
  <si>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</si>
  <si>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</si>
  <si>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</si>
  <si>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</si>
  <si>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</si>
  <si>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</si>
  <si>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</si>
  <si>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</si>
  <si>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</si>
  <si>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</si>
  <si>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</si>
  <si>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</si>
  <si>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</si>
  <si>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</si>
  <si>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</si>
  <si>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</si>
  <si>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</si>
  <si>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</si>
  <si>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</si>
  <si>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</si>
  <si>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</si>
  <si>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</si>
  <si>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</si>
  <si>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</si>
  <si>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</si>
  <si>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</si>
  <si>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</si>
  <si>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</si>
  <si>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</si>
  <si>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</si>
  <si>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</si>
  <si>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</si>
  <si>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</si>
  <si>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</si>
  <si>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</si>
  <si>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</si>
  <si>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</si>
  <si>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</si>
  <si>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</si>
  <si>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</si>
  <si>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</si>
  <si>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</si>
  <si>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</si>
  <si>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</si>
  <si>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</si>
  <si>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</si>
  <si>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</si>
  <si>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</si>
  <si>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</si>
  <si>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</si>
  <si>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</si>
  <si>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</si>
  <si>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</si>
  <si>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</si>
  <si>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</si>
  <si>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</si>
  <si>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</si>
  <si>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</si>
  <si>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</si>
  <si>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</si>
  <si>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</si>
  <si>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</si>
  <si>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</si>
  <si>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</si>
  <si>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</si>
  <si>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</si>
  <si>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</si>
  <si>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</si>
  <si>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</si>
  <si>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</si>
  <si>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</si>
  <si>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</si>
  <si>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</si>
  <si>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</si>
  <si>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</si>
  <si>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</si>
  <si>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</si>
  <si>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</si>
  <si>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</si>
  <si>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</si>
  <si>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</si>
  <si>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</si>
  <si>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</si>
  <si>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</si>
  <si>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</si>
  <si>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</si>
  <si>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</si>
  <si>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</si>
  <si>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</si>
  <si>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</si>
  <si>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</si>
  <si>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</si>
  <si>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</si>
  <si>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</si>
  <si>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</si>
  <si>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</si>
  <si>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</si>
  <si>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</si>
  <si>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</si>
  <si>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</si>
  <si>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</si>
  <si>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</si>
  <si>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</si>
  <si>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</si>
  <si>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</si>
  <si>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</si>
  <si>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</si>
  <si>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</si>
  <si>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</si>
  <si>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</si>
  <si>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</si>
  <si>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</si>
  <si>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</si>
  <si>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</si>
  <si>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</si>
  <si>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</si>
  <si>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</si>
  <si>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</si>
  <si>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</si>
  <si>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</si>
  <si>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</si>
  <si>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</si>
  <si>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</si>
  <si>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</si>
  <si>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</si>
  <si>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</si>
  <si>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</si>
  <si>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</si>
  <si>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</si>
  <si>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</si>
  <si>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</si>
  <si>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</si>
  <si>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</si>
  <si>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</si>
  <si>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</si>
  <si>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</si>
  <si>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</si>
  <si>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</si>
  <si>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</si>
  <si>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</si>
  <si>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</si>
  <si>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</si>
  <si>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</si>
  <si>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</si>
  <si>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</si>
  <si>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</si>
  <si>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</si>
  <si>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</si>
  <si>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</si>
  <si>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</si>
  <si>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</si>
  <si>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</si>
  <si>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</si>
  <si>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</si>
  <si>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</si>
  <si>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</si>
  <si>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</si>
  <si>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</si>
  <si>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</si>
  <si>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</si>
  <si>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</si>
  <si>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</si>
  <si>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</si>
  <si>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</si>
  <si>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</si>
  <si>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</si>
  <si>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</si>
  <si>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</si>
  <si>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</si>
  <si>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</si>
  <si>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</si>
  <si>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</si>
  <si>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</si>
  <si>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</si>
  <si>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</si>
  <si>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</si>
  <si>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</si>
  <si>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</si>
  <si>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</si>
  <si>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</si>
  <si>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</si>
  <si>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</si>
  <si>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</si>
  <si>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</si>
  <si>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</si>
  <si>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</si>
  <si>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</si>
  <si>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</si>
  <si>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</si>
  <si>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</si>
  <si>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</si>
  <si>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</si>
  <si>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</si>
  <si>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</si>
  <si>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</si>
  <si>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</si>
  <si>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</si>
  <si>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</si>
  <si>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</si>
  <si>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</si>
  <si>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</si>
  <si>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</si>
  <si>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</si>
  <si>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</si>
  <si>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</si>
  <si>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</si>
  <si>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</si>
  <si>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</si>
  <si>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</si>
  <si>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</si>
  <si>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</si>
  <si>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</si>
  <si>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</si>
  <si>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</si>
  <si>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</si>
  <si>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</si>
  <si>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</si>
  <si>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</si>
  <si>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</si>
  <si>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</si>
  <si>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</si>
  <si>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</si>
  <si>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</si>
  <si>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</si>
  <si>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</si>
  <si>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</si>
  <si>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</si>
  <si>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</si>
  <si>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</si>
  <si>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</si>
  <si>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</si>
  <si>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</si>
  <si>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</si>
  <si>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</si>
  <si>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</si>
  <si>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</si>
  <si>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</si>
  <si>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</si>
  <si>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</si>
  <si>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</si>
  <si>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</si>
  <si>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</si>
  <si>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</si>
  <si>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</si>
  <si>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</si>
  <si>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</si>
  <si>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</si>
  <si>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</si>
  <si>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</si>
  <si>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</si>
  <si>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</si>
  <si>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</si>
  <si>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</si>
  <si>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</si>
  <si>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</si>
  <si>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</si>
  <si>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</si>
  <si>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</si>
  <si>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</si>
  <si>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</si>
  <si>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</si>
  <si>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</si>
  <si>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</si>
  <si>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</si>
  <si>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</si>
  <si>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</si>
  <si>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</si>
  <si>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</si>
  <si>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</si>
  <si>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</si>
  <si>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</si>
  <si>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</si>
  <si>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</si>
  <si>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</si>
  <si>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</si>
  <si>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</si>
  <si>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</si>
  <si>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</si>
  <si>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</si>
  <si>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</si>
  <si>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</si>
  <si>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</si>
  <si>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</si>
  <si>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</si>
  <si>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</si>
  <si>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</si>
  <si>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</si>
  <si>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</si>
  <si>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</si>
  <si>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</si>
  <si>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</si>
  <si>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</si>
  <si>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</si>
  <si>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</si>
  <si>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</si>
  <si>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</si>
  <si>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</si>
  <si>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</si>
  <si>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</si>
  <si>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</si>
  <si>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</si>
  <si>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</si>
  <si>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</si>
  <si>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</si>
  <si>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</si>
  <si>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</si>
  <si>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</si>
  <si>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</si>
  <si>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</si>
  <si>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</si>
  <si>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</si>
  <si>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</si>
  <si>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</si>
  <si>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</si>
  <si>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</si>
  <si>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</si>
  <si>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</si>
  <si>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</si>
  <si>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</si>
  <si>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</si>
  <si>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</si>
  <si>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</si>
  <si>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</si>
  <si>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</si>
  <si>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</si>
  <si>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</si>
  <si>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</si>
  <si>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</si>
  <si>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</si>
  <si>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</si>
  <si>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</si>
  <si>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</si>
  <si>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</si>
  <si>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</si>
  <si>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</si>
  <si>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</si>
  <si>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</si>
  <si>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</si>
  <si>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</si>
  <si>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</si>
  <si>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</si>
  <si>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</si>
  <si>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</si>
  <si>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</si>
  <si>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</si>
  <si>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</si>
  <si>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</si>
  <si>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</si>
  <si>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</si>
  <si>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</si>
  <si>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</si>
  <si>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</si>
  <si>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</si>
  <si>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</si>
  <si>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</si>
  <si>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</si>
  <si>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</si>
  <si>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</si>
  <si>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</si>
  <si>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</si>
  <si>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</si>
  <si>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</si>
  <si>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</si>
  <si>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</si>
  <si>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</si>
  <si>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</si>
  <si>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</si>
  <si>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</si>
  <si>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</si>
  <si>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</si>
  <si>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</si>
  <si>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</si>
  <si>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</si>
  <si>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</si>
  <si>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</si>
  <si>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</si>
  <si>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</si>
  <si>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</si>
  <si>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</si>
  <si>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</si>
  <si>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</si>
  <si>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</si>
  <si>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</si>
  <si>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</si>
  <si>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</si>
  <si>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</si>
  <si>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</si>
  <si>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</si>
  <si>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</si>
  <si>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</si>
  <si>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</si>
  <si>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</si>
  <si>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</si>
  <si>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</si>
  <si>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</si>
  <si>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</si>
  <si>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</si>
  <si>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</si>
  <si>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</si>
  <si>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</si>
  <si>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</si>
  <si>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</si>
  <si>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</si>
  <si>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</si>
  <si>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</si>
  <si>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</si>
  <si>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</si>
  <si>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</si>
  <si>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</si>
  <si>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</si>
  <si>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</si>
  <si>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</si>
  <si>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</si>
  <si>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</si>
  <si>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</si>
  <si>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</si>
  <si>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</si>
  <si>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</si>
  <si>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</si>
  <si>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</si>
  <si>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</si>
  <si>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</si>
  <si>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</si>
  <si>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</si>
  <si>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</si>
  <si>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</si>
  <si>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</si>
  <si>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</si>
  <si>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</si>
  <si>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</si>
  <si>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</si>
  <si>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</si>
  <si>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</si>
  <si>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</si>
  <si>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</si>
  <si>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</si>
  <si>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</si>
  <si>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</si>
  <si>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</si>
  <si>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</si>
  <si>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</si>
  <si>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</si>
  <si>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</si>
  <si>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</si>
  <si>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</si>
  <si>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</si>
  <si>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</si>
  <si>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</si>
  <si>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</si>
  <si>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</si>
  <si>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</si>
  <si>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</si>
  <si>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</si>
  <si>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</si>
  <si>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</si>
  <si>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</si>
  <si>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</si>
  <si>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</si>
  <si>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</si>
  <si>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</si>
  <si>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</si>
  <si>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</si>
  <si>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</si>
  <si>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</si>
  <si>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</si>
  <si>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</si>
  <si>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</si>
  <si>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</si>
  <si>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</si>
  <si>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</si>
  <si>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</si>
  <si>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</si>
  <si>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</si>
  <si>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</si>
  <si>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</si>
  <si>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</si>
  <si>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</si>
  <si>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</si>
  <si>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</si>
  <si>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</si>
  <si>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</si>
  <si>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</si>
  <si>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</si>
  <si>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</si>
  <si>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</si>
  <si>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</si>
  <si>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</si>
  <si>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</si>
  <si>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</si>
  <si>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</si>
  <si>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</si>
  <si>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</si>
  <si>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</si>
  <si>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</si>
  <si>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</si>
  <si>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</si>
  <si>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</si>
  <si>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</si>
  <si>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</si>
  <si>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</si>
  <si>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</si>
  <si>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</si>
  <si>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</si>
  <si>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</si>
  <si>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</si>
  <si>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</si>
  <si>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</si>
  <si>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</si>
  <si>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</si>
  <si>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</si>
  <si>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</si>
  <si>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</si>
  <si>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</si>
  <si>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</si>
  <si>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</si>
  <si>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</si>
  <si>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</si>
  <si>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</si>
  <si>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</si>
  <si>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</si>
  <si>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</si>
  <si>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</si>
  <si>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</si>
  <si>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</si>
  <si>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</si>
  <si>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</si>
  <si>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</si>
  <si>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</si>
  <si>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</si>
  <si>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</si>
  <si>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</si>
  <si>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</si>
  <si>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</si>
  <si>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</si>
  <si>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</si>
  <si>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</si>
  <si>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</si>
  <si>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</si>
  <si>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</si>
  <si>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</si>
  <si>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</si>
  <si>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</si>
  <si>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</si>
  <si>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</si>
  <si>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</si>
  <si>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</si>
  <si>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</si>
  <si>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</si>
  <si>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</si>
  <si>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</si>
  <si>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</si>
  <si>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</si>
  <si>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</si>
  <si>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</si>
  <si>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</si>
  <si>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</si>
  <si>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</si>
  <si>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</si>
  <si>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</si>
  <si>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</si>
  <si>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</si>
  <si>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</si>
  <si>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</si>
  <si>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</si>
  <si>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</si>
  <si>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</si>
  <si>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</si>
  <si>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</si>
  <si>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</si>
  <si>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</si>
  <si>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</si>
  <si>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</si>
  <si>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</si>
  <si>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</si>
  <si>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</si>
  <si>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</si>
  <si>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</si>
  <si>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</si>
  <si>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</si>
  <si>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</si>
  <si>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</si>
  <si>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</si>
  <si>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</si>
  <si>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</si>
  <si>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</si>
  <si>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</si>
  <si>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</si>
  <si>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</si>
  <si>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</si>
  <si>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</si>
  <si>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</si>
  <si>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</si>
  <si>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</si>
  <si>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</si>
  <si>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</si>
  <si>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</si>
  <si>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</si>
  <si>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</si>
  <si>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</si>
  <si>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</si>
  <si>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</si>
  <si>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</si>
  <si>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</si>
  <si>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</si>
  <si>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</si>
  <si>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</si>
  <si>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</si>
  <si>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</si>
  <si>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</si>
  <si>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</si>
  <si>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</si>
  <si>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</si>
  <si>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</si>
  <si>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</si>
  <si>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</si>
  <si>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</si>
  <si>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</si>
  <si>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</si>
  <si>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</si>
  <si>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</si>
  <si>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</si>
  <si>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</si>
  <si>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</si>
  <si>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</si>
  <si>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</si>
  <si>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</si>
  <si>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</si>
  <si>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</si>
  <si>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</si>
  <si>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</si>
  <si>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</si>
  <si>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</si>
  <si>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</si>
  <si>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</si>
  <si>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</si>
  <si>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</si>
  <si>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</si>
  <si>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</si>
  <si>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</si>
  <si>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</si>
  <si>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</si>
  <si>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</si>
  <si>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</si>
  <si>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</si>
  <si>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</si>
  <si>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</si>
  <si>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</si>
  <si>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</si>
  <si>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</si>
  <si>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</si>
  <si>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</si>
  <si>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</si>
  <si>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</si>
  <si>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</si>
  <si>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</si>
  <si>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</si>
  <si>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</si>
  <si>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</si>
  <si>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</si>
  <si>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</si>
  <si>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</si>
  <si>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</si>
  <si>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</si>
  <si>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</si>
  <si>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</si>
  <si>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</si>
  <si>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</si>
  <si>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</si>
  <si>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</si>
  <si>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</si>
  <si>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</si>
  <si>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</si>
  <si>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</si>
  <si>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</si>
  <si>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</si>
  <si>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</si>
  <si>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</si>
  <si>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</si>
  <si>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</si>
  <si>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</si>
  <si>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</si>
  <si>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</si>
  <si>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</si>
  <si>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</si>
  <si>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</si>
  <si>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</si>
  <si>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</si>
  <si>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</si>
  <si>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</si>
  <si>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</si>
  <si>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</si>
  <si>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</si>
  <si>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</si>
  <si>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</si>
  <si>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</si>
  <si>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</si>
  <si>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</si>
  <si>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</si>
  <si>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</si>
  <si>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</si>
  <si>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</si>
  <si>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</si>
  <si>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</si>
  <si>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</si>
  <si>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</si>
  <si>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</si>
  <si>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</si>
  <si>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</si>
  <si>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</si>
  <si>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</si>
  <si>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</si>
  <si>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</si>
  <si>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</si>
  <si>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</si>
  <si>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</si>
  <si>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</si>
  <si>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</si>
  <si>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</si>
  <si>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</si>
  <si>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</si>
  <si>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</si>
  <si>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</si>
  <si>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</si>
  <si>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</si>
  <si>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</si>
  <si>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</si>
  <si>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</si>
  <si>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</si>
  <si>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</si>
  <si>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</si>
  <si>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</si>
  <si>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</si>
  <si>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</si>
  <si>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</si>
  <si>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</si>
  <si>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</si>
  <si>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</si>
  <si>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</si>
  <si>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</si>
  <si>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</si>
  <si>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</si>
  <si>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</si>
  <si>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</si>
  <si>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</si>
  <si>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</si>
  <si>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</si>
  <si>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</si>
  <si>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</si>
  <si>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</si>
  <si>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</si>
  <si>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</si>
  <si>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</si>
  <si>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</si>
  <si>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</si>
  <si>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</si>
  <si>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</si>
  <si>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</si>
  <si>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</si>
  <si>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</si>
  <si>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</si>
  <si>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</si>
  <si>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</si>
  <si>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</si>
  <si>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</si>
  <si>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</si>
  <si>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</si>
  <si>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</si>
  <si>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</si>
  <si>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</si>
  <si>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</si>
  <si>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</si>
  <si>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</si>
  <si>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</si>
  <si>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</si>
  <si>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</si>
  <si>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</si>
  <si>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</si>
  <si>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</si>
  <si>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</si>
  <si>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</si>
  <si>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</si>
  <si>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</si>
  <si>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</si>
  <si>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</si>
  <si>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</si>
  <si>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</si>
  <si>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</si>
  <si>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</si>
  <si>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</si>
  <si>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</si>
  <si>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</si>
  <si>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</si>
  <si>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</si>
  <si>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</si>
  <si>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</si>
  <si>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</si>
  <si>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</si>
  <si>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</si>
  <si>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</si>
  <si>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</si>
  <si>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</si>
  <si>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</si>
  <si>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</si>
  <si>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</si>
  <si>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</si>
  <si>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</si>
  <si>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</si>
  <si>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</si>
  <si>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</si>
  <si>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</si>
  <si>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</si>
  <si>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</si>
  <si>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</si>
  <si>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</si>
  <si>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</si>
  <si>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</si>
  <si>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</si>
  <si>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</si>
  <si>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</si>
  <si>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</si>
  <si>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</si>
  <si>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</si>
  <si>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</si>
  <si>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</si>
  <si>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</si>
  <si>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</si>
  <si>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</si>
  <si>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</si>
  <si>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</si>
  <si>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</si>
  <si>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</si>
  <si>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</si>
  <si>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</si>
  <si>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</si>
  <si>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</si>
  <si>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</si>
  <si>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</si>
  <si>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</si>
  <si>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</si>
  <si>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</si>
  <si>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</si>
  <si>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</si>
  <si>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</si>
  <si>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</si>
  <si>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</si>
  <si>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</si>
  <si>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</si>
  <si>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</si>
  <si>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</si>
  <si>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</si>
  <si>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</si>
  <si>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</si>
  <si>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</si>
  <si>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</si>
  <si>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</si>
  <si>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</si>
  <si>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</si>
  <si>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</si>
  <si>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</si>
  <si>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</si>
  <si>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</si>
  <si>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</si>
  <si>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</si>
  <si>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</si>
  <si>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</si>
  <si>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</si>
  <si>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</si>
  <si>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</si>
  <si>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</si>
  <si>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</si>
  <si>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</si>
  <si>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</si>
  <si>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</si>
  <si>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</si>
  <si>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</si>
  <si>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</si>
  <si>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</si>
  <si>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</si>
  <si>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</si>
  <si>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</si>
  <si>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</si>
  <si>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</si>
  <si>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</si>
  <si>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</si>
  <si>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</si>
  <si>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</si>
  <si>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</si>
  <si>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</si>
  <si>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</si>
  <si>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</si>
  <si>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</si>
  <si>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</si>
  <si>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</si>
  <si>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</si>
  <si>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</si>
  <si>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</si>
  <si>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</si>
  <si>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</si>
  <si>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</si>
  <si>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</si>
  <si>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</si>
  <si>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</si>
  <si>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</si>
  <si>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</si>
  <si>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</si>
  <si>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</si>
  <si>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</si>
  <si>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</si>
  <si>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</si>
  <si>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</si>
  <si>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</si>
  <si>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</si>
  <si>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</si>
  <si>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</si>
  <si>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</si>
  <si>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</si>
  <si>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</si>
  <si>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</si>
  <si>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</si>
  <si>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</si>
  <si>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</si>
  <si>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</si>
  <si>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</si>
  <si>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</si>
  <si>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</si>
  <si>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</si>
  <si>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</si>
  <si>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</si>
  <si>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</si>
  <si>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</si>
  <si>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</si>
  <si>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</si>
  <si>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</si>
  <si>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</si>
  <si>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</si>
  <si>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</si>
  <si>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</si>
  <si>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</si>
  <si>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</si>
  <si>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</si>
  <si>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</si>
  <si>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</si>
  <si>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</si>
  <si>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</si>
  <si>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</si>
  <si>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</si>
  <si>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</si>
  <si>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</si>
  <si>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</si>
  <si>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</si>
  <si>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</si>
  <si>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</si>
  <si>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</si>
  <si>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</si>
  <si>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</si>
  <si>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</si>
  <si>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</si>
  <si>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</si>
  <si>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</si>
  <si>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</si>
  <si>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</si>
  <si>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</si>
  <si>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</si>
  <si>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</si>
  <si>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</si>
  <si>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</si>
  <si>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</si>
  <si>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</si>
  <si>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</si>
  <si>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</si>
  <si>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</si>
  <si>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</si>
  <si>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</si>
  <si>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</si>
  <si>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</si>
  <si>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</si>
  <si>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</si>
  <si>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</si>
  <si>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</si>
  <si>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</si>
  <si>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</si>
  <si>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</si>
  <si>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</si>
  <si>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</si>
  <si>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</si>
  <si>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</si>
  <si>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</si>
  <si>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</si>
  <si>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</si>
  <si>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</si>
  <si>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</si>
  <si>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</si>
  <si>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</si>
  <si>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</si>
  <si>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</si>
  <si>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</si>
  <si>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</si>
  <si>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</si>
  <si>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</si>
  <si>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</si>
  <si>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</si>
  <si>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</si>
  <si>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</si>
  <si>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</si>
  <si>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</si>
  <si>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</si>
  <si>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</si>
  <si>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</si>
  <si>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</si>
  <si>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</si>
  <si>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</si>
  <si>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</si>
  <si>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</si>
  <si>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</si>
  <si>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</si>
  <si>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</si>
  <si>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</si>
  <si>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</si>
  <si>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</si>
  <si>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</si>
  <si>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</si>
  <si>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</si>
  <si>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</si>
  <si>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</si>
  <si>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</si>
  <si>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</si>
  <si>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</si>
  <si>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</si>
  <si>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</si>
  <si>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</si>
  <si>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</si>
  <si>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</si>
  <si>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</si>
  <si>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</si>
  <si>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</si>
  <si>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</si>
  <si>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</si>
  <si>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</si>
  <si>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</si>
  <si>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</si>
  <si>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</si>
  <si>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</si>
  <si>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</si>
  <si>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</si>
  <si>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</si>
  <si>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</si>
  <si>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</si>
  <si>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</si>
  <si>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</si>
  <si>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</si>
  <si>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</si>
  <si>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</si>
  <si>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</si>
  <si>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</si>
  <si>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</si>
  <si>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</si>
  <si>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</si>
  <si>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</si>
  <si>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</si>
  <si>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</si>
  <si>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</si>
  <si>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</si>
  <si>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</si>
  <si>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</si>
  <si>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</si>
  <si>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</si>
  <si>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</si>
  <si>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</si>
  <si>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</si>
  <si>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</si>
  <si>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</si>
  <si>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</si>
  <si>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</si>
  <si>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</si>
  <si>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</si>
  <si>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</si>
  <si>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</si>
  <si>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</si>
  <si>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</si>
  <si>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</si>
  <si>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</si>
  <si>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</si>
  <si>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</si>
  <si>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</si>
  <si>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</si>
  <si>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</si>
  <si>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</si>
  <si>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</si>
  <si>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</si>
  <si>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</si>
  <si>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</si>
  <si>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</si>
  <si>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</si>
  <si>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</si>
  <si>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</si>
  <si>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</si>
  <si>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</si>
  <si>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</si>
  <si>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</si>
  <si>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</si>
  <si>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</si>
  <si>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</si>
  <si>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</si>
  <si>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</si>
  <si>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</si>
  <si>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</si>
  <si>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</si>
  <si>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</si>
  <si>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</si>
  <si>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</si>
  <si>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</si>
  <si>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</si>
  <si>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</si>
  <si>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</si>
  <si>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</si>
  <si>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</si>
  <si>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</si>
  <si>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</si>
  <si>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</si>
  <si>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</si>
  <si>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</si>
  <si>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</si>
  <si>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</si>
  <si>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</si>
  <si>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</si>
  <si>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</si>
  <si>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</si>
  <si>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</si>
  <si>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</si>
  <si>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</si>
  <si>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</si>
  <si>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</si>
  <si>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</si>
  <si>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</si>
  <si>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</si>
  <si>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</si>
  <si>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</si>
  <si>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</si>
  <si>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</si>
  <si>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</si>
  <si>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</si>
  <si>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</si>
  <si>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</si>
  <si>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</si>
  <si>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</si>
  <si>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</si>
  <si>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</si>
  <si>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</si>
  <si>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</si>
  <si>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</si>
  <si>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</si>
  <si>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</si>
  <si>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</si>
  <si>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</si>
  <si>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</si>
  <si>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</si>
  <si>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</si>
  <si>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</si>
  <si>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</si>
  <si>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</si>
  <si>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</si>
  <si>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</si>
  <si>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</si>
  <si>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</si>
  <si>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</si>
  <si>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</si>
  <si>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</si>
  <si>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</si>
  <si>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</si>
  <si>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</si>
  <si>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</si>
  <si>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</si>
  <si>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</si>
  <si>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</si>
  <si>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</si>
  <si>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</si>
  <si>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</si>
  <si>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</si>
  <si>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</si>
  <si>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</si>
  <si>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</si>
  <si>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</si>
  <si>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</si>
  <si>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</si>
  <si>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</si>
  <si>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</si>
  <si>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</si>
  <si>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</si>
  <si>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</si>
  <si>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</si>
  <si>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</si>
  <si>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</si>
  <si>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</si>
  <si>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</si>
  <si>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</si>
  <si>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</si>
  <si>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</si>
  <si>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</si>
  <si>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</si>
  <si>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</si>
  <si>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</si>
  <si>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</si>
  <si>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</si>
  <si>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</si>
  <si>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</si>
  <si>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</si>
  <si>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</si>
  <si>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</si>
  <si>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</si>
  <si>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</si>
  <si>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</si>
  <si>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</si>
  <si>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</si>
  <si>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</si>
  <si>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</si>
  <si>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</si>
  <si>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</si>
  <si>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</si>
  <si>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</si>
  <si>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</si>
  <si>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</si>
  <si>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</si>
  <si>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</si>
  <si>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</si>
  <si>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</si>
  <si>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</si>
  <si>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</si>
  <si>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</si>
  <si>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</si>
  <si>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</si>
  <si>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</si>
  <si>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</si>
  <si>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</si>
  <si>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</si>
  <si>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</si>
  <si>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</si>
  <si>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</si>
  <si>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</si>
  <si>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</si>
  <si>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</si>
  <si>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</si>
  <si>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</si>
  <si>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</si>
  <si>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</si>
  <si>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</si>
  <si>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</si>
  <si>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</si>
  <si>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</si>
  <si>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</si>
  <si>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</si>
  <si>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</si>
  <si>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</si>
  <si>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</si>
  <si>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</si>
  <si>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</si>
  <si>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</si>
  <si>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</si>
  <si>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</si>
  <si>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</si>
  <si>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</si>
  <si>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</si>
  <si>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</si>
  <si>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</si>
  <si>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</si>
  <si>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</si>
  <si>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</si>
  <si>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</si>
  <si>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</si>
  <si>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</si>
  <si>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</si>
  <si>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</si>
  <si>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</si>
  <si>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</si>
  <si>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</si>
  <si>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</si>
  <si>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</si>
  <si>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</si>
  <si>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</si>
  <si>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</si>
  <si>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</si>
  <si>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</si>
  <si>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</si>
  <si>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</si>
  <si>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</si>
  <si>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</si>
  <si>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</si>
  <si>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</si>
  <si>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</si>
  <si>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</si>
  <si>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</si>
  <si>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</si>
  <si>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</si>
  <si>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</si>
  <si>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</si>
  <si>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</si>
  <si>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</si>
  <si>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</si>
  <si>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</si>
  <si>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</si>
  <si>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</si>
  <si>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</si>
  <si>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</si>
  <si>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</si>
  <si>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</si>
  <si>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</si>
  <si>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</si>
  <si>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</si>
  <si>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</si>
  <si>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</si>
  <si>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</si>
  <si>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</si>
  <si>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</si>
  <si>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</si>
  <si>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</si>
  <si>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</si>
  <si>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</si>
  <si>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</si>
  <si>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</si>
  <si>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</si>
  <si>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</si>
  <si>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</si>
  <si>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</si>
  <si>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</si>
  <si>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</si>
  <si>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</si>
  <si>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</si>
  <si>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</si>
  <si>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</si>
  <si>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</si>
  <si>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</si>
  <si>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</si>
  <si>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</si>
  <si>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</si>
  <si>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</si>
  <si>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</si>
  <si>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</si>
  <si>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</si>
  <si>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</si>
  <si>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</si>
  <si>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</si>
  <si>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</si>
  <si>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</si>
  <si>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</si>
  <si>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</si>
  <si>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</si>
  <si>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</si>
  <si>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</si>
  <si>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</si>
  <si>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</si>
  <si>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</si>
  <si>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</si>
  <si>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</si>
  <si>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</si>
  <si>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</si>
  <si>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</si>
  <si>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</si>
  <si>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</si>
  <si>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</si>
  <si>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</si>
  <si>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</si>
  <si>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</si>
  <si>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</si>
  <si>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</si>
  <si>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</si>
  <si>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</si>
  <si>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</si>
  <si>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</si>
  <si>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</si>
  <si>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</si>
  <si>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</si>
  <si>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</si>
  <si>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</si>
  <si>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</si>
  <si>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</si>
  <si>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</si>
  <si>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</si>
  <si>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</si>
  <si>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</si>
  <si>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</si>
  <si>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</si>
  <si>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</si>
  <si>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</si>
  <si>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</si>
  <si>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</si>
  <si>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</si>
  <si>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</si>
  <si>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</si>
  <si>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</si>
  <si>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</si>
  <si>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</si>
  <si>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</si>
  <si>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</si>
  <si>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</si>
  <si>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</si>
  <si>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</si>
  <si>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</si>
  <si>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</si>
  <si>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</si>
  <si>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</si>
  <si>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</si>
  <si>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</si>
  <si>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</si>
  <si>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</si>
  <si>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</si>
  <si>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</si>
  <si>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</si>
  <si>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</si>
  <si>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</si>
  <si>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</si>
  <si>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</si>
  <si>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</si>
  <si>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</si>
  <si>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</si>
  <si>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</si>
  <si>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</si>
  <si>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</si>
  <si>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</si>
  <si>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</si>
  <si>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</si>
  <si>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</si>
  <si>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</si>
  <si>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</si>
  <si>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</si>
  <si>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</si>
  <si>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</si>
  <si>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</si>
  <si>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</si>
  <si>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</si>
  <si>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</si>
  <si>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</si>
  <si>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</si>
  <si>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</si>
  <si>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</si>
  <si>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</si>
  <si>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</si>
  <si>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</si>
  <si>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</si>
  <si>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</si>
  <si>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</si>
  <si>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</si>
  <si>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</si>
  <si>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</si>
  <si>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</si>
  <si>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</si>
  <si>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</si>
  <si>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</si>
  <si>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</si>
  <si>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</si>
  <si>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</si>
  <si>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</si>
  <si>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</si>
  <si>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</si>
  <si>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</si>
  <si>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</si>
  <si>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</si>
  <si>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</si>
  <si>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</si>
  <si>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</si>
  <si>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</si>
  <si>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</si>
  <si>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</si>
  <si>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</si>
  <si>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</si>
  <si>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</si>
  <si>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</si>
  <si>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</si>
  <si>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</si>
  <si>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</si>
  <si>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</si>
  <si>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</si>
  <si>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</si>
  <si>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</si>
  <si>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</si>
  <si>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</si>
  <si>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</si>
  <si>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</si>
  <si>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</si>
  <si>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</si>
  <si>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</si>
  <si>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</si>
  <si>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</si>
  <si>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</si>
  <si>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</si>
  <si>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</si>
  <si>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</si>
  <si>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</si>
  <si>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</si>
  <si>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</si>
  <si>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</si>
  <si>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</si>
  <si>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</si>
  <si>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</si>
  <si>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</si>
  <si>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</si>
  <si>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</si>
  <si>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</si>
  <si>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</si>
  <si>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</si>
  <si>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</si>
  <si>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</si>
  <si>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</si>
  <si>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</si>
  <si>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</si>
  <si>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</si>
  <si>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</si>
  <si>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</si>
  <si>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</si>
  <si>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</si>
  <si>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</si>
  <si>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</si>
  <si>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</si>
  <si>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</si>
  <si>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</si>
  <si>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</si>
  <si>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</si>
  <si>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</si>
  <si>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</si>
  <si>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</si>
  <si>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</si>
  <si>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</si>
  <si>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</si>
  <si>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</si>
  <si>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</si>
  <si>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</si>
  <si>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</si>
  <si>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</si>
  <si>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</si>
  <si>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</si>
  <si>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</si>
  <si>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</si>
  <si>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</si>
  <si>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</si>
  <si>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</si>
  <si>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</si>
  <si>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</si>
  <si>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</si>
  <si>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</si>
  <si>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</si>
  <si>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</si>
  <si>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</si>
  <si>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</si>
  <si>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</si>
  <si>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</si>
  <si>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</si>
  <si>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</si>
  <si>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</si>
  <si>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</si>
  <si>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</si>
  <si>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</si>
  <si>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</si>
  <si>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</si>
  <si>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</si>
  <si>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</si>
  <si>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</si>
  <si>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</si>
  <si>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</si>
  <si>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</si>
  <si>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</si>
  <si>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</si>
  <si>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</si>
  <si>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</si>
  <si>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</si>
  <si>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</si>
  <si>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</si>
  <si>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</si>
  <si>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</si>
  <si>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</si>
  <si>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</si>
  <si>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</si>
  <si>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</si>
  <si>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</si>
  <si>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</si>
  <si>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</si>
  <si>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</si>
  <si>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</si>
  <si>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</si>
  <si>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</si>
  <si>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</si>
  <si>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</si>
  <si>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</si>
  <si>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</si>
  <si>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</si>
  <si>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</si>
  <si>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</si>
  <si>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</si>
  <si>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</si>
  <si>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</si>
  <si>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</si>
  <si>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</si>
  <si>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</si>
  <si>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</si>
  <si>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</si>
  <si>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</si>
  <si>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</si>
  <si>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</si>
  <si>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</si>
  <si>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</si>
  <si>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</si>
  <si>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</si>
  <si>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</si>
  <si>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</si>
  <si>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</si>
  <si>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</si>
  <si>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</si>
  <si>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</si>
  <si>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</si>
  <si>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</si>
  <si>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</si>
  <si>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</si>
  <si>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</si>
  <si>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</si>
  <si>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</si>
  <si>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</si>
  <si>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</si>
  <si>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</si>
  <si>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</si>
  <si>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</si>
  <si>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</si>
  <si>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</si>
  <si>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</si>
  <si>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</si>
  <si>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</si>
  <si>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</si>
  <si>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</si>
  <si>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</si>
  <si>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</si>
  <si>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</si>
  <si>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</si>
  <si>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</si>
  <si>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</si>
  <si>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</si>
  <si>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</si>
  <si>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</si>
  <si>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</si>
  <si>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</si>
  <si>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</si>
  <si>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</si>
  <si>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</si>
  <si>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</si>
  <si>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</si>
  <si>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</si>
  <si>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</si>
  <si>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</si>
  <si>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</si>
  <si>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</si>
  <si>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</si>
  <si>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</si>
  <si>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</si>
  <si>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</si>
  <si>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</si>
  <si>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</si>
  <si>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</si>
  <si>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</si>
  <si>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</si>
  <si>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</si>
  <si>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</si>
  <si>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</si>
  <si>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</si>
  <si>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</si>
  <si>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</si>
  <si>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</si>
  <si>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</si>
  <si>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</si>
  <si>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</si>
  <si>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</si>
  <si>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</si>
  <si>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</si>
  <si>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</si>
  <si>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</si>
  <si>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</si>
  <si>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</si>
  <si>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</si>
  <si>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</si>
  <si>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</si>
  <si>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</si>
  <si>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</si>
  <si>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</si>
  <si>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</si>
  <si>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</si>
  <si>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</si>
  <si>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</si>
  <si>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</si>
  <si>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</si>
  <si>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</si>
  <si>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</si>
  <si>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</si>
  <si>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</si>
  <si>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</si>
  <si>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</si>
  <si>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</si>
  <si>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</si>
  <si>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</si>
  <si>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</si>
  <si>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</si>
  <si>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</si>
  <si>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</si>
  <si>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</si>
  <si>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</si>
  <si>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</si>
  <si>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</si>
  <si>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</si>
  <si>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</si>
  <si>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</si>
  <si>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</si>
  <si>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</si>
  <si>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</si>
  <si>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</si>
  <si>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</si>
  <si>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</si>
  <si>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</si>
  <si>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</si>
  <si>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</si>
  <si>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</si>
  <si>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</si>
  <si>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</si>
  <si>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</si>
  <si>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</si>
  <si>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</si>
  <si>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</si>
  <si>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</si>
  <si>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</si>
  <si>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</si>
  <si>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</si>
  <si>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</si>
  <si>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</si>
  <si>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</si>
  <si>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</si>
  <si>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</si>
  <si>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</si>
  <si>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</si>
  <si>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</si>
  <si>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</si>
  <si>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</si>
  <si>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</si>
  <si>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</si>
  <si>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</si>
  <si>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</si>
  <si>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</si>
  <si>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</si>
  <si>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</si>
  <si>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</si>
  <si>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</si>
  <si>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</si>
  <si>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</si>
  <si>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</si>
  <si>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</si>
  <si>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</si>
  <si>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</si>
  <si>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</si>
  <si>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</si>
  <si>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</si>
  <si>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</si>
  <si>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</si>
  <si>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</si>
  <si>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</si>
  <si>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</si>
  <si>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</si>
  <si>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</si>
  <si>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</si>
  <si>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</si>
  <si>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</si>
  <si>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</si>
  <si>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</si>
  <si>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</si>
  <si>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</si>
  <si>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</si>
  <si>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</si>
  <si>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</si>
  <si>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</si>
  <si>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</si>
  <si>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</si>
  <si>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</si>
  <si>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</si>
  <si>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</si>
  <si>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</si>
  <si>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</si>
  <si>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</si>
  <si>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</si>
  <si>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</si>
  <si>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</si>
  <si>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</si>
  <si>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</si>
  <si>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</si>
  <si>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</si>
  <si>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</si>
  <si>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</si>
  <si>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</si>
  <si>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</si>
  <si>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</si>
  <si>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</si>
  <si>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</si>
  <si>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</si>
  <si>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</si>
  <si>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</si>
  <si>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</si>
  <si>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</si>
  <si>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</si>
  <si>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</si>
  <si>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</si>
  <si>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</si>
  <si>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</si>
  <si>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</si>
  <si>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</si>
  <si>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</si>
  <si>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</si>
  <si>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</si>
  <si>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</si>
  <si>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</si>
  <si>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</si>
  <si>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</si>
  <si>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</si>
  <si>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</si>
  <si>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</si>
  <si>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</si>
  <si>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</si>
  <si>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</si>
  <si>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</si>
  <si>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</si>
  <si>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</si>
  <si>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</si>
  <si>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</si>
  <si>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</si>
  <si>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</si>
  <si>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</si>
  <si>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</si>
  <si>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</si>
  <si>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</si>
  <si>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</si>
  <si>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</si>
  <si>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</si>
  <si>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</si>
  <si>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</si>
  <si>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</si>
  <si>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</si>
  <si>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</si>
  <si>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</si>
  <si>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</si>
  <si>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</si>
  <si>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</si>
  <si>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</si>
  <si>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</si>
  <si>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</si>
  <si>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</si>
  <si>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</si>
  <si>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</si>
  <si>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</si>
  <si>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</si>
  <si>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</si>
  <si>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</si>
  <si>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</si>
  <si>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</si>
  <si>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</si>
  <si>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</si>
  <si>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</si>
  <si>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</si>
  <si>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</si>
  <si>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</si>
  <si>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</si>
  <si>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</si>
  <si>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</si>
  <si>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</si>
  <si>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</si>
  <si>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</si>
  <si>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</si>
  <si>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</si>
  <si>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</si>
  <si>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</si>
  <si>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</si>
  <si>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</si>
  <si>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</si>
  <si>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</si>
  <si>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</si>
  <si>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</si>
  <si>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</si>
  <si>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</si>
  <si>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</si>
  <si>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</si>
  <si>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</si>
  <si>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</si>
  <si>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</si>
  <si>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</si>
  <si>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</si>
  <si>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</si>
  <si>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</si>
  <si>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</si>
  <si>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</si>
  <si>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</si>
  <si>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</si>
  <si>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</si>
  <si>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</si>
  <si>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</si>
  <si>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</si>
  <si>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</si>
  <si>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</si>
  <si>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</si>
  <si>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</si>
  <si>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</si>
  <si>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</si>
  <si>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</si>
  <si>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</si>
  <si>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</si>
  <si>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</si>
  <si>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</si>
  <si>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</si>
  <si>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</si>
  <si>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</si>
  <si>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</si>
  <si>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</si>
  <si>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</si>
  <si>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</si>
  <si>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</si>
  <si>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</si>
  <si>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</si>
  <si>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</si>
  <si>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</si>
  <si>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</si>
  <si>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</si>
  <si>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</si>
  <si>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</si>
  <si>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</si>
  <si>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</si>
  <si>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</si>
  <si>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</si>
  <si>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</si>
  <si>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</si>
  <si>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</si>
  <si>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</si>
  <si>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</si>
  <si>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</si>
  <si>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</si>
  <si>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</si>
  <si>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</si>
  <si>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</si>
  <si>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</si>
  <si>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</si>
  <si>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</si>
  <si>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</si>
  <si>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</si>
  <si>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</si>
  <si>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</si>
  <si>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</si>
  <si>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</si>
  <si>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</si>
  <si>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</si>
  <si>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</si>
  <si>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</si>
  <si>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</si>
  <si>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</si>
  <si>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</si>
  <si>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</si>
  <si>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</si>
  <si>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</si>
  <si>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</si>
  <si>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</si>
  <si>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</si>
  <si>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</si>
  <si>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</si>
  <si>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</si>
  <si>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</si>
  <si>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</si>
  <si>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</si>
  <si>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</si>
  <si>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</si>
  <si>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</si>
  <si>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</si>
  <si>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</si>
  <si>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</si>
  <si>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</si>
  <si>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</si>
  <si>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</si>
  <si>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</si>
  <si>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</si>
  <si>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</si>
  <si>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</si>
  <si>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</si>
  <si>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</si>
  <si>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</si>
  <si>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</si>
  <si>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</si>
  <si>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</si>
  <si>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</si>
  <si>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</si>
  <si>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</si>
  <si>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</si>
  <si>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</si>
  <si>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</si>
  <si>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</si>
  <si>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</si>
  <si>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</si>
  <si>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</si>
  <si>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</si>
  <si>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</si>
  <si>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</si>
  <si>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</si>
  <si>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</si>
  <si>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</si>
  <si>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</si>
  <si>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</si>
  <si>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</si>
  <si>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</si>
  <si>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</si>
  <si>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</si>
  <si>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</si>
  <si>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</si>
  <si>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</si>
  <si>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</si>
  <si>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</si>
  <si>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</si>
  <si>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</si>
  <si>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</si>
  <si>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</si>
  <si>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</si>
  <si>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</si>
  <si>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</si>
  <si>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</si>
  <si>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</si>
  <si>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</si>
  <si>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</si>
  <si>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</si>
  <si>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</si>
  <si>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</si>
  <si>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</si>
  <si>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</si>
  <si>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</si>
  <si>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</si>
  <si>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</si>
  <si>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</si>
  <si>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</si>
  <si>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</si>
  <si>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</si>
  <si>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</si>
  <si>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</si>
  <si>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</si>
  <si>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</si>
  <si>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</si>
  <si>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</si>
  <si>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</si>
  <si>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</si>
  <si>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</si>
  <si>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</si>
  <si>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</si>
  <si>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</si>
  <si>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</si>
  <si>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</si>
  <si>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</si>
  <si>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</si>
  <si>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</si>
  <si>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</si>
  <si>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</si>
  <si>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</si>
  <si>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</si>
  <si>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</si>
  <si>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</si>
  <si>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</si>
  <si>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</si>
  <si>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</si>
  <si>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</si>
  <si>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</si>
  <si>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</si>
  <si>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</si>
  <si>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</si>
  <si>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</si>
  <si>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</si>
  <si>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</si>
  <si>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</si>
  <si>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</si>
  <si>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</si>
  <si>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</si>
  <si>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</si>
  <si>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</si>
  <si>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</si>
  <si>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</si>
  <si>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</si>
  <si>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</si>
  <si>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</si>
  <si>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</si>
  <si>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</si>
  <si>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</si>
  <si>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</si>
  <si>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</si>
  <si>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</si>
  <si>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</si>
  <si>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</si>
  <si>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</si>
  <si>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</si>
  <si>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</si>
  <si>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</si>
  <si>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</si>
  <si>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</si>
  <si>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</si>
  <si>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</si>
  <si>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</si>
  <si>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</si>
  <si>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</si>
  <si>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</si>
  <si>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</si>
  <si>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</si>
  <si>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</si>
  <si>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</si>
  <si>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</si>
  <si>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</si>
  <si>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</si>
  <si>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</si>
  <si>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</si>
  <si>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</si>
  <si>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</si>
  <si>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</si>
  <si>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</si>
  <si>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</si>
  <si>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</si>
  <si>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</si>
  <si>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</si>
  <si>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</si>
  <si>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</si>
  <si>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</si>
  <si>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</si>
  <si>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</si>
  <si>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</si>
  <si>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</si>
  <si>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</si>
  <si>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</si>
  <si>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</si>
  <si>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</si>
  <si>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</si>
  <si>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</si>
  <si>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</si>
  <si>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</si>
  <si>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</si>
  <si>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</si>
  <si>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</si>
  <si>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</si>
  <si>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</si>
  <si>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</si>
  <si>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</si>
  <si>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</si>
  <si>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</si>
  <si>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</si>
  <si>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</si>
  <si>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</si>
  <si>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</si>
  <si>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</si>
  <si>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</si>
  <si>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</si>
  <si>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</si>
  <si>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</si>
  <si>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</si>
  <si>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</si>
  <si>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</si>
  <si>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</si>
  <si>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</si>
  <si>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</si>
  <si>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</si>
  <si>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</si>
  <si>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</si>
  <si>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</si>
  <si>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</si>
  <si>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</si>
  <si>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</si>
  <si>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</si>
  <si>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</si>
  <si>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</si>
  <si>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</si>
  <si>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</si>
  <si>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</si>
  <si>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</si>
  <si>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</si>
  <si>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</si>
  <si>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</si>
  <si>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</si>
  <si>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</si>
  <si>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</si>
  <si>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</si>
  <si>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</si>
  <si>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</si>
  <si>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</si>
  <si>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</si>
  <si>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</si>
  <si>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</si>
  <si>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</si>
  <si>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</si>
  <si>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</si>
  <si>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</si>
  <si>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</si>
  <si>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</si>
  <si>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</si>
  <si>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</si>
  <si>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</si>
  <si>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</si>
  <si>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</si>
  <si>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</si>
  <si>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</si>
  <si>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</si>
  <si>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</si>
  <si>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</si>
  <si>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</si>
  <si>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</si>
  <si>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</si>
  <si>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</si>
  <si>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</si>
  <si>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</si>
  <si>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</si>
  <si>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</si>
  <si>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</si>
  <si>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</si>
  <si>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</si>
  <si>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</si>
  <si>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</si>
  <si>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</si>
  <si>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</si>
  <si>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</si>
  <si>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</si>
  <si>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</si>
  <si>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</si>
  <si>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</si>
  <si>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</si>
  <si>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</si>
  <si>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</si>
  <si>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</si>
  <si>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</si>
  <si>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</si>
  <si>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</si>
  <si>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</si>
  <si>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</si>
  <si>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</si>
  <si>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</si>
  <si>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</si>
  <si>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</si>
  <si>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</si>
  <si>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</si>
  <si>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</si>
  <si>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</si>
  <si>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</si>
  <si>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</si>
  <si>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</si>
  <si>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</si>
  <si>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</si>
  <si>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</si>
  <si>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</si>
  <si>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</si>
  <si>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</si>
  <si>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</si>
  <si>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</si>
  <si>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</si>
  <si>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</si>
  <si>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</si>
  <si>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</si>
  <si>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</si>
  <si>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</si>
  <si>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</si>
  <si>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</si>
  <si>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</si>
  <si>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</si>
  <si>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</si>
  <si>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</si>
  <si>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</si>
  <si>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</si>
  <si>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</si>
  <si>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</si>
  <si>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</si>
  <si>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</si>
  <si>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</si>
  <si>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</si>
  <si>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</si>
  <si>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</si>
  <si>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</si>
  <si>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</si>
  <si>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</si>
  <si>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</si>
  <si>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</si>
  <si>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</si>
  <si>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</si>
  <si>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</si>
  <si>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</si>
  <si>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</si>
  <si>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</si>
  <si>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</si>
  <si>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</si>
  <si>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</si>
  <si>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</si>
  <si>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</si>
  <si>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</si>
  <si>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</si>
  <si>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</si>
  <si>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</si>
  <si>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</si>
  <si>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</si>
  <si>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</si>
  <si>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</si>
  <si>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</si>
  <si>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</si>
  <si>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</si>
  <si>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</si>
  <si>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</si>
  <si>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</si>
  <si>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</si>
  <si>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</si>
  <si>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</si>
  <si>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</si>
  <si>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</si>
  <si>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</si>
  <si>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</si>
  <si>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</si>
  <si>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</si>
  <si>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</si>
  <si>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</si>
  <si>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</si>
  <si>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</si>
  <si>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</si>
  <si>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</si>
  <si>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</si>
  <si>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</si>
  <si>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</si>
  <si>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</si>
  <si>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</si>
  <si>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</si>
  <si>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</si>
  <si>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</si>
  <si>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</si>
  <si>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</si>
  <si>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</si>
  <si>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</si>
  <si>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</si>
  <si>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</si>
  <si>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</si>
  <si>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</si>
  <si>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</si>
  <si>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</si>
  <si>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</si>
  <si>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</si>
  <si>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</si>
  <si>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</si>
  <si>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</si>
  <si>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</si>
  <si>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</si>
  <si>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</si>
  <si>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</si>
  <si>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</si>
  <si>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</si>
  <si>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</si>
  <si>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</si>
  <si>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</si>
  <si>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</si>
  <si>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</si>
  <si>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</si>
  <si>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</si>
  <si>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</si>
  <si>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</si>
  <si>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</si>
  <si>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</si>
  <si>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</si>
  <si>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</si>
  <si>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</si>
  <si>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</si>
  <si>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</si>
  <si>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</si>
  <si>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</si>
  <si>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</si>
  <si>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</si>
  <si>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</si>
  <si>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</si>
  <si>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</si>
  <si>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</si>
  <si>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</si>
  <si>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</si>
  <si>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</si>
  <si>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</si>
  <si>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</si>
  <si>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</si>
  <si>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</si>
  <si>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</si>
  <si>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</si>
  <si>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</si>
  <si>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</si>
  <si>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</si>
  <si>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</si>
  <si>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</si>
  <si>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</si>
  <si>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</si>
  <si>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</si>
  <si>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</si>
  <si>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</si>
  <si>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</si>
  <si>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</si>
  <si>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</si>
  <si>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</si>
  <si>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</si>
  <si>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</si>
  <si>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</si>
  <si>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</si>
  <si>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</si>
  <si>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</si>
  <si>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</si>
  <si>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</si>
  <si>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</si>
  <si>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</si>
  <si>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</si>
  <si>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</si>
  <si>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</si>
  <si>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</si>
  <si>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</si>
  <si>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</si>
  <si>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</si>
  <si>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</si>
  <si>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</si>
  <si>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</si>
  <si>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</si>
  <si>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</si>
  <si>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</si>
  <si>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</si>
  <si>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</si>
  <si>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</si>
  <si>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</si>
  <si>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</si>
  <si>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</si>
  <si>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</si>
  <si>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</si>
  <si>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</si>
  <si>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</si>
  <si>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</si>
  <si>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</si>
  <si>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</si>
  <si>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</si>
  <si>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</si>
  <si>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</si>
  <si>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</si>
  <si>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</si>
  <si>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</si>
  <si>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</si>
  <si>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</si>
  <si>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</si>
  <si>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</si>
  <si>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</si>
  <si>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</si>
  <si>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</si>
  <si>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</si>
  <si>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</si>
  <si>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</si>
  <si>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</si>
  <si>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</si>
  <si>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</si>
  <si>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</si>
  <si>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</si>
  <si>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</si>
  <si>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</si>
  <si>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</si>
  <si>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</si>
  <si>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</si>
  <si>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</si>
  <si>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</si>
  <si>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</si>
  <si>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</si>
  <si>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</si>
  <si>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</si>
  <si>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</si>
  <si>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</si>
  <si>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</si>
  <si>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</si>
  <si>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</si>
  <si>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</si>
  <si>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</si>
  <si>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</si>
  <si>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</si>
  <si>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</si>
  <si>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</si>
  <si>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</si>
  <si>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</si>
  <si>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</si>
  <si>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</si>
  <si>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</si>
  <si>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</si>
  <si>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</si>
  <si>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</si>
  <si>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</si>
  <si>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</si>
  <si>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</si>
  <si>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</si>
  <si>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</si>
  <si>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</si>
  <si>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</si>
  <si>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</si>
  <si>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</si>
  <si>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</si>
  <si>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</si>
  <si>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</si>
  <si>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</si>
  <si>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</si>
  <si>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</si>
  <si>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</si>
  <si>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</si>
  <si>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</si>
  <si>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</si>
  <si>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</si>
  <si>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</si>
  <si>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</si>
  <si>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</si>
  <si>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</si>
  <si>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</si>
  <si>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</si>
  <si>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</si>
  <si>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</si>
  <si>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</si>
  <si>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</si>
  <si>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</si>
  <si>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</si>
  <si>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</si>
  <si>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</si>
  <si>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</si>
  <si>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</si>
  <si>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</si>
  <si>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</si>
  <si>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</si>
  <si>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</si>
  <si>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</si>
  <si>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</si>
  <si>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</si>
  <si>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</si>
  <si>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</si>
  <si>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</si>
  <si>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</si>
  <si>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</si>
  <si>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</si>
  <si>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</si>
  <si>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</si>
  <si>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</si>
  <si>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</si>
  <si>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</si>
  <si>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</si>
  <si>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</si>
  <si>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</si>
  <si>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</si>
  <si>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</si>
  <si>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</si>
  <si>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</si>
  <si>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</si>
  <si>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</si>
  <si>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</si>
  <si>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</si>
  <si>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</si>
  <si>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</si>
  <si>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</si>
  <si>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</si>
  <si>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</si>
  <si>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</si>
  <si>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</si>
  <si>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</si>
  <si>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</si>
  <si>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</si>
  <si>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</si>
  <si>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</si>
  <si>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</si>
  <si>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</si>
  <si>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</si>
  <si>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</si>
  <si>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</si>
  <si>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</si>
  <si>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</si>
  <si>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</si>
  <si>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</si>
  <si>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</si>
  <si>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</si>
  <si>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</si>
  <si>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</si>
  <si>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</si>
  <si>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</si>
  <si>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</si>
  <si>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</si>
  <si>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</si>
  <si>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</si>
  <si>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</si>
  <si>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</si>
  <si>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</si>
  <si>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</si>
  <si>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</si>
  <si>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</si>
  <si>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</si>
  <si>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</si>
  <si>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</si>
  <si>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</si>
  <si>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</si>
  <si>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</si>
  <si>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</si>
  <si>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</si>
  <si>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</si>
  <si>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</si>
  <si>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</si>
  <si>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</si>
  <si>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</si>
  <si>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</si>
  <si>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</si>
  <si>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</si>
  <si>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</si>
  <si>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</si>
  <si>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</si>
  <si>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</si>
  <si>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</si>
  <si>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</si>
  <si>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</si>
  <si>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</si>
  <si>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</si>
  <si>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</si>
  <si>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</si>
  <si>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</si>
  <si>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</si>
  <si>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</si>
  <si>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</si>
  <si>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</si>
  <si>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</si>
  <si>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</si>
  <si>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</si>
  <si>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</si>
  <si>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</si>
  <si>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</si>
  <si>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</si>
  <si>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</si>
  <si>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</si>
  <si>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</si>
  <si>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</si>
  <si>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</si>
  <si>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</si>
  <si>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</si>
  <si>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</si>
  <si>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</si>
  <si>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</si>
  <si>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</si>
  <si>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</si>
  <si>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</si>
  <si>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</si>
  <si>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</si>
  <si>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</si>
  <si>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</si>
  <si>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</si>
  <si>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</si>
  <si>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</si>
  <si>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</si>
  <si>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</si>
  <si>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</si>
  <si>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</si>
  <si>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</si>
  <si>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</si>
  <si>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</si>
  <si>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</si>
  <si>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</si>
  <si>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</si>
  <si>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</si>
  <si>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</si>
  <si>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</si>
  <si>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</si>
  <si>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</si>
  <si>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</si>
  <si>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</si>
  <si>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</si>
  <si>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</si>
  <si>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</si>
  <si>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</si>
  <si>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</si>
  <si>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</si>
  <si>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</si>
  <si>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</si>
  <si>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</si>
  <si>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</si>
  <si>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</si>
  <si>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</si>
  <si>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</si>
  <si>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</si>
  <si>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</si>
  <si>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</si>
  <si>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</si>
  <si>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</si>
  <si>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</si>
  <si>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</si>
  <si>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</si>
  <si>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</si>
  <si>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</si>
  <si>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</si>
  <si>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</si>
  <si>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</si>
  <si>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</si>
  <si>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</si>
  <si>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</si>
  <si>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</si>
  <si>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</si>
  <si>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</si>
  <si>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</si>
  <si>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</si>
  <si>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</si>
  <si>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</si>
  <si>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</si>
  <si>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</si>
  <si>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</si>
  <si>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</si>
  <si>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</si>
  <si>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</si>
  <si>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</si>
  <si>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</si>
  <si>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</si>
  <si>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</si>
  <si>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</si>
  <si>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</si>
  <si>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</si>
  <si>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</si>
  <si>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</si>
  <si>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</si>
  <si>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</si>
  <si>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</si>
  <si>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</si>
  <si>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</si>
  <si>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</si>
  <si>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</si>
  <si>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</si>
  <si>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</si>
  <si>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</si>
  <si>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</si>
  <si>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</si>
  <si>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</si>
  <si>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</si>
  <si>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</si>
  <si>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</si>
  <si>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</si>
  <si>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</si>
  <si>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</si>
  <si>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</si>
  <si>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</si>
  <si>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</si>
  <si>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</si>
  <si>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</si>
  <si>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</si>
  <si>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</si>
  <si>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</si>
  <si>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</si>
  <si>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</si>
  <si>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</si>
  <si>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</si>
  <si>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</si>
  <si>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</si>
  <si>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</si>
  <si>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</si>
  <si>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</si>
  <si>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</si>
  <si>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</si>
  <si>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</si>
  <si>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</si>
  <si>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</si>
  <si>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</si>
  <si>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</si>
  <si>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</si>
  <si>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</si>
  <si>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</si>
  <si>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</si>
  <si>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</si>
  <si>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</si>
  <si>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</si>
  <si>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</si>
  <si>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</si>
  <si>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</si>
  <si>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</si>
  <si>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</si>
  <si>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</si>
  <si>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</si>
  <si>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</si>
  <si>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</si>
  <si>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</si>
  <si>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</si>
  <si>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</si>
  <si>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</si>
  <si>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</si>
  <si>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</si>
  <si>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</si>
  <si>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</si>
  <si>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</si>
  <si>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</si>
  <si>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</si>
  <si>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</si>
  <si>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</si>
  <si>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</si>
  <si>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</si>
  <si>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</si>
  <si>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</si>
  <si>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</si>
  <si>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</si>
  <si>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</si>
  <si>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</si>
  <si>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</si>
  <si>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</si>
  <si>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</si>
  <si>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</si>
  <si>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</si>
  <si>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</si>
  <si>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</si>
  <si>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</si>
  <si>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</si>
  <si>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</si>
  <si>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</si>
  <si>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</si>
  <si>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</si>
  <si>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</si>
  <si>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</si>
  <si>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</si>
  <si>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</si>
  <si>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</si>
  <si>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</si>
  <si>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</si>
  <si>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</si>
  <si>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</si>
  <si>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</si>
  <si>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</si>
  <si>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</si>
  <si>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</si>
  <si>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</si>
  <si>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</si>
  <si>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</si>
  <si>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</si>
  <si>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</si>
  <si>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</si>
  <si>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</si>
  <si>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</si>
  <si>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</si>
  <si>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</si>
  <si>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</si>
  <si>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</si>
  <si>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</si>
  <si>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</si>
  <si>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</si>
  <si>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</si>
  <si>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</si>
  <si>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</si>
  <si>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</si>
  <si>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</si>
  <si>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</si>
  <si>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</si>
  <si>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</si>
  <si>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</si>
  <si>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</si>
  <si>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</si>
  <si>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</si>
  <si>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</si>
  <si>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</si>
  <si>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</si>
  <si>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</si>
  <si>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</si>
  <si>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</si>
  <si>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</si>
  <si>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</si>
  <si>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</si>
  <si>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</si>
  <si>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</si>
  <si>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</si>
  <si>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</si>
  <si>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</si>
  <si>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</si>
  <si>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</si>
  <si>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</si>
  <si>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</si>
  <si>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</si>
  <si>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</si>
  <si>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</si>
  <si>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</si>
  <si>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</si>
  <si>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</si>
  <si>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</si>
  <si>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</si>
  <si>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</si>
  <si>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</si>
  <si>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</si>
  <si>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</si>
  <si>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</si>
  <si>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</si>
  <si>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</si>
  <si>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</si>
  <si>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</si>
  <si>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</si>
  <si>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</si>
  <si>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</si>
  <si>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</si>
  <si>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</si>
  <si>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</si>
  <si>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</si>
  <si>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</si>
  <si>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</si>
  <si>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</si>
  <si>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</si>
  <si>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</si>
  <si>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</si>
  <si>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</si>
  <si>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</si>
  <si>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</si>
  <si>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</si>
  <si>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</si>
  <si>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</si>
  <si>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</si>
  <si>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</si>
  <si>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</si>
  <si>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</si>
  <si>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</si>
  <si>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</si>
  <si>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</si>
  <si>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</si>
  <si>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</si>
  <si>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</si>
  <si>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</si>
  <si>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</si>
  <si>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</si>
  <si>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</si>
  <si>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</si>
  <si>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</si>
  <si>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</si>
  <si>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</si>
  <si>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</si>
  <si>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</si>
  <si>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</si>
  <si>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</si>
  <si>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</si>
  <si>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</si>
  <si>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</si>
  <si>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</si>
  <si>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</si>
  <si>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</si>
  <si>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</si>
  <si>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</si>
  <si>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</si>
  <si>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</si>
  <si>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</si>
  <si>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</si>
  <si>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</si>
  <si>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</si>
  <si>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</si>
  <si>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</si>
  <si>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</si>
  <si>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</si>
  <si>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</si>
  <si>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</si>
  <si>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</si>
  <si>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</si>
  <si>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</si>
  <si>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</si>
  <si>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</si>
  <si>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</si>
  <si>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</si>
  <si>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</si>
  <si>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</si>
  <si>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</si>
  <si>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</si>
  <si>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</si>
  <si>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</si>
  <si>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</si>
  <si>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</si>
  <si>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</si>
  <si>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</si>
  <si>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</si>
  <si>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</si>
  <si>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</si>
  <si>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</si>
  <si>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</si>
  <si>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</si>
  <si>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</si>
  <si>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</si>
  <si>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</si>
  <si>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</si>
  <si>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</si>
  <si>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</si>
  <si>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</si>
  <si>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</si>
  <si>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</si>
  <si>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</si>
  <si>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</si>
  <si>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</si>
  <si>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</si>
  <si>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</si>
  <si>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</si>
  <si>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</si>
  <si>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</si>
  <si>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</si>
  <si>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</si>
  <si>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</si>
  <si>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</si>
  <si>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</si>
  <si>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</si>
  <si>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</si>
  <si>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</si>
  <si>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</si>
  <si>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</si>
  <si>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</si>
  <si>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</si>
  <si>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</si>
  <si>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</si>
  <si>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</si>
  <si>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</si>
  <si>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</si>
  <si>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</si>
  <si>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</si>
  <si>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</si>
  <si>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</si>
  <si>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</si>
  <si>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</si>
  <si>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</si>
  <si>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</si>
  <si>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</si>
  <si>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</si>
  <si>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</si>
  <si>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</si>
  <si>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</si>
  <si>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</si>
  <si>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</si>
  <si>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</si>
  <si>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</si>
  <si>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</si>
  <si>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</si>
  <si>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</si>
  <si>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</si>
  <si>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</si>
  <si>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</si>
  <si>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</si>
  <si>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</si>
  <si>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</si>
  <si>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</si>
  <si>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</si>
  <si>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</si>
  <si>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</si>
  <si>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</si>
  <si>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</si>
  <si>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</si>
  <si>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</si>
  <si>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</si>
  <si>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</si>
  <si>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</si>
  <si>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</si>
  <si>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</si>
  <si>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</si>
  <si>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</si>
  <si>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</si>
  <si>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</si>
  <si>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</si>
  <si>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</si>
  <si>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</si>
  <si>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</si>
  <si>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</si>
  <si>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</si>
  <si>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</si>
  <si>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</si>
  <si>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</si>
  <si>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</si>
  <si>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</si>
  <si>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</si>
  <si>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</si>
  <si>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</si>
  <si>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</si>
  <si>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</si>
  <si>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</si>
  <si>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</si>
  <si>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</si>
  <si>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</si>
  <si>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</si>
  <si>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</si>
  <si>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</si>
  <si>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</si>
  <si>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</si>
  <si>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</si>
  <si>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</si>
  <si>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</si>
  <si>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</si>
  <si>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</si>
  <si>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</si>
  <si>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</si>
  <si>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</si>
  <si>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</si>
  <si>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</si>
  <si>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</si>
  <si>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</si>
  <si>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</si>
  <si>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</si>
  <si>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</si>
  <si>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</si>
  <si>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</si>
  <si>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</si>
  <si>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</si>
  <si>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</si>
  <si>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</si>
  <si>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</si>
  <si>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</si>
  <si>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</si>
  <si>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</si>
  <si>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</si>
  <si>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</si>
  <si>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</si>
  <si>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</si>
  <si>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</si>
  <si>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</si>
  <si>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</si>
  <si>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</si>
  <si>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</si>
  <si>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</si>
  <si>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</si>
  <si>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</si>
  <si>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</si>
  <si>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</si>
  <si>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</si>
  <si>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</si>
  <si>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</si>
  <si>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</si>
  <si>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</si>
  <si>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</si>
  <si>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</si>
  <si>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</si>
  <si>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</si>
  <si>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</si>
  <si>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</si>
  <si>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</si>
  <si>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</si>
  <si>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</si>
  <si>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</si>
  <si>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</si>
  <si>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</si>
  <si>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</si>
  <si>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</si>
  <si>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</si>
  <si>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</si>
  <si>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</si>
  <si>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</si>
  <si>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</si>
  <si>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</si>
  <si>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</si>
  <si>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</si>
  <si>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</si>
  <si>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</si>
  <si>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</si>
  <si>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</si>
  <si>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</si>
  <si>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</si>
  <si>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</si>
  <si>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</si>
  <si>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</si>
  <si>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</si>
  <si>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</si>
  <si>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</si>
  <si>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</si>
  <si>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</si>
  <si>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</si>
  <si>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</si>
  <si>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</si>
  <si>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</si>
  <si>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</si>
  <si>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</si>
  <si>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</si>
  <si>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</si>
  <si>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</si>
  <si>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</si>
  <si>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</si>
  <si>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</si>
  <si>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</si>
  <si>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</si>
  <si>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</si>
  <si>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</si>
  <si>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</si>
  <si>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</si>
  <si>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</si>
  <si>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</si>
  <si>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</si>
  <si>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</si>
  <si>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</si>
  <si>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</si>
  <si>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</si>
  <si>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</si>
  <si>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</si>
  <si>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</si>
  <si>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</si>
  <si>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</si>
  <si>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</si>
  <si>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</si>
  <si>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</si>
  <si>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</si>
  <si>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</si>
  <si>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</si>
  <si>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</si>
  <si>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</si>
  <si>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</si>
  <si>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</si>
  <si>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</si>
  <si>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</si>
  <si>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</si>
  <si>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</si>
  <si>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</si>
  <si>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</si>
  <si>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</si>
  <si>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</si>
  <si>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</si>
  <si>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</si>
  <si>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</si>
  <si>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</si>
  <si>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</si>
  <si>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</si>
  <si>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</si>
  <si>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</si>
  <si>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</si>
  <si>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</si>
  <si>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</si>
  <si>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</si>
  <si>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</si>
  <si>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</si>
  <si>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</si>
  <si>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</si>
  <si>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</si>
  <si>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</si>
  <si>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</si>
  <si>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</si>
  <si>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</si>
  <si>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</si>
  <si>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</si>
  <si>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</si>
  <si>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</si>
  <si>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</si>
  <si>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</si>
  <si>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</si>
  <si>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</si>
  <si>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</si>
  <si>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</si>
  <si>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</si>
  <si>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</si>
  <si>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</si>
  <si>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</si>
  <si>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</si>
  <si>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</si>
  <si>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</si>
  <si>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</si>
  <si>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</si>
  <si>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</si>
  <si>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</si>
  <si>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</si>
  <si>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</si>
  <si>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</si>
  <si>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</si>
  <si>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</si>
  <si>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</si>
  <si>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</si>
  <si>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</si>
  <si>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</si>
  <si>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</si>
  <si>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</si>
  <si>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</si>
  <si>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</si>
  <si>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</si>
  <si>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</si>
  <si>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</si>
  <si>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</si>
  <si>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</si>
  <si>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</si>
  <si>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</si>
  <si>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</si>
  <si>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</si>
  <si>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</si>
  <si>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</si>
  <si>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</si>
  <si>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</si>
  <si>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</si>
  <si>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</si>
  <si>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</si>
  <si>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</si>
  <si>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</si>
  <si>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</si>
  <si>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</si>
  <si>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</si>
  <si>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</si>
  <si>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</si>
  <si>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</si>
  <si>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</si>
  <si>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</si>
  <si>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</si>
  <si>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</si>
  <si>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</si>
  <si>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</si>
  <si>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</si>
  <si>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</si>
  <si>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</si>
  <si>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</si>
  <si>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</si>
  <si>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</si>
  <si>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</si>
  <si>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</si>
  <si>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</si>
  <si>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</si>
  <si>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</si>
  <si>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</si>
  <si>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</si>
  <si>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</si>
  <si>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</si>
  <si>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</si>
  <si>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</si>
  <si>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</si>
  <si>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</si>
  <si>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</si>
  <si>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</si>
  <si>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</si>
  <si>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</si>
  <si>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</si>
  <si>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</si>
  <si>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</si>
  <si>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</si>
  <si>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</si>
  <si>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</si>
  <si>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</si>
  <si>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</si>
  <si>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</si>
  <si>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</si>
  <si>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</si>
  <si>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</si>
  <si>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</si>
  <si>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</si>
  <si>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</si>
  <si>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</si>
  <si>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</si>
  <si>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</si>
  <si>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</si>
  <si>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</si>
  <si>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</si>
  <si>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</si>
  <si>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</si>
  <si>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</si>
  <si>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</si>
  <si>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</si>
  <si>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</si>
  <si>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</si>
  <si>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</si>
  <si>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</si>
  <si>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</si>
  <si>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</si>
  <si>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</si>
  <si>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</si>
  <si>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</si>
  <si>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</si>
  <si>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</si>
  <si>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</si>
  <si>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</si>
  <si>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</si>
  <si>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</si>
  <si>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</si>
  <si>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</si>
  <si>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</si>
  <si>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</si>
  <si>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</si>
  <si>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</si>
  <si>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</si>
  <si>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</si>
  <si>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</si>
  <si>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</si>
  <si>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</si>
  <si>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</si>
  <si>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</si>
  <si>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</si>
  <si>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</si>
  <si>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</si>
  <si>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</si>
  <si>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</si>
  <si>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</si>
  <si>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</si>
  <si>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</si>
  <si>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</si>
  <si>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</si>
  <si>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</si>
  <si>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</si>
  <si>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</si>
  <si>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</si>
  <si>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</si>
  <si>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</si>
  <si>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</si>
  <si>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</si>
  <si>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</si>
  <si>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</si>
  <si>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</si>
  <si>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</si>
  <si>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</si>
  <si>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</si>
  <si>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</si>
  <si>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</si>
  <si>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</si>
  <si>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</si>
  <si>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</si>
  <si>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</si>
  <si>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</si>
  <si>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</si>
  <si>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</si>
  <si>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</si>
  <si>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</si>
  <si>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</si>
  <si>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</si>
  <si>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</si>
  <si>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</si>
  <si>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</si>
  <si>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</si>
  <si>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</si>
  <si>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</si>
  <si>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</si>
  <si>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</si>
  <si>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</si>
  <si>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</si>
  <si>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</si>
  <si>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</si>
  <si>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</si>
  <si>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</si>
  <si>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</si>
  <si>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</si>
  <si>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</si>
  <si>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</si>
  <si>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</si>
  <si>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</si>
  <si>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</si>
  <si>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</si>
  <si>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</si>
  <si>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</si>
  <si>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</si>
  <si>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</si>
  <si>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</si>
  <si>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</si>
  <si>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</si>
  <si>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</si>
  <si>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</si>
  <si>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</si>
  <si>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</si>
  <si>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</si>
  <si>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</si>
  <si>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</si>
  <si>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</si>
  <si>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</si>
  <si>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</si>
  <si>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</si>
  <si>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</si>
  <si>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</si>
  <si>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</si>
  <si>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</si>
  <si>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</si>
  <si>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</si>
  <si>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</si>
  <si>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</si>
  <si>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</si>
  <si>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</si>
  <si>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</si>
  <si>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</si>
  <si>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</si>
  <si>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</si>
  <si>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</si>
  <si>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</si>
  <si>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</si>
  <si>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</si>
  <si>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</si>
  <si>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</si>
  <si>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</si>
  <si>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</si>
  <si>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</si>
  <si>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</si>
  <si>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</si>
  <si>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</si>
  <si>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</si>
  <si>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</si>
  <si>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</si>
  <si>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</si>
  <si>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</si>
  <si>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</si>
  <si>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</si>
  <si>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</si>
  <si>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</si>
  <si>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</si>
  <si>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</si>
  <si>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</si>
  <si>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</si>
  <si>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</si>
  <si>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</si>
  <si>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</si>
  <si>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</si>
  <si>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</si>
  <si>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</si>
  <si>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</si>
  <si>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</si>
  <si>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</si>
  <si>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</si>
  <si>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</si>
  <si>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</si>
  <si>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</si>
  <si>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</si>
  <si>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</si>
  <si>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</si>
  <si>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</si>
  <si>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</si>
  <si>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</si>
  <si>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</si>
  <si>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</si>
  <si>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</si>
  <si>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</si>
  <si>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</si>
  <si>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</si>
  <si>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</si>
  <si>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</si>
  <si>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</si>
  <si>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</si>
  <si>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</si>
  <si>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</si>
  <si>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</si>
  <si>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</si>
  <si>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</si>
  <si>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</si>
  <si>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</si>
  <si>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</si>
  <si>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</si>
  <si>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</si>
  <si>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</si>
  <si>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</si>
  <si>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</si>
  <si>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</si>
  <si>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</si>
  <si>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</si>
  <si>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</si>
  <si>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</si>
  <si>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</si>
  <si>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</si>
  <si>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</si>
  <si>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</si>
  <si>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</si>
  <si>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</si>
  <si>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</si>
  <si>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</si>
  <si>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</si>
  <si>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</si>
  <si>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</si>
  <si>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</si>
  <si>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</si>
  <si>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</si>
  <si>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</si>
  <si>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</si>
  <si>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</si>
  <si>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</si>
  <si>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</si>
  <si>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</si>
  <si>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</si>
  <si>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</si>
  <si>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</si>
  <si>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</si>
  <si>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</si>
  <si>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</si>
  <si>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</si>
  <si>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</si>
  <si>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</si>
  <si>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</si>
  <si>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</si>
  <si>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</si>
  <si>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</si>
  <si>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</si>
  <si>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</si>
  <si>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</si>
  <si>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</si>
  <si>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</si>
  <si>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</si>
  <si>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</si>
  <si>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</si>
  <si>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</si>
  <si>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</si>
  <si>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</si>
  <si>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</si>
  <si>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</si>
  <si>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</si>
  <si>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</si>
  <si>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</si>
  <si>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</si>
  <si>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</si>
  <si>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</si>
  <si>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</si>
  <si>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</si>
  <si>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</si>
  <si>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</si>
  <si>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</si>
  <si>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</si>
  <si>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</si>
  <si>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</si>
  <si>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</si>
  <si>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</si>
  <si>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</si>
  <si>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</si>
  <si>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</si>
  <si>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</si>
  <si>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</si>
  <si>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</si>
  <si>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</si>
  <si>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</si>
  <si>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</si>
  <si>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</si>
  <si>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</si>
  <si>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</si>
  <si>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</si>
  <si>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</si>
  <si>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</si>
  <si>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</si>
  <si>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</si>
  <si>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</si>
  <si>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</si>
  <si>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</si>
  <si>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</si>
  <si>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</si>
  <si>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</si>
  <si>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</si>
  <si>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</si>
  <si>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</si>
  <si>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</si>
  <si>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</si>
  <si>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</si>
  <si>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</si>
  <si>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</si>
  <si>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</si>
  <si>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</si>
  <si>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</si>
  <si>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</si>
  <si>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</si>
  <si>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</si>
  <si>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</si>
  <si>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</si>
  <si>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</si>
  <si>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</si>
  <si>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</si>
  <si>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</si>
  <si>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</si>
  <si>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</si>
  <si>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</si>
  <si>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</si>
  <si>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</si>
  <si>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</si>
  <si>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</si>
  <si>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</si>
  <si>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</si>
  <si>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</si>
  <si>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</si>
  <si>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</si>
  <si>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</si>
  <si>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</si>
  <si>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</si>
  <si>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</si>
  <si>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</si>
  <si>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</si>
  <si>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</si>
  <si>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</si>
  <si>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</si>
  <si>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</si>
  <si>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</si>
  <si>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</si>
  <si>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</si>
  <si>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</si>
  <si>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</si>
  <si>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</si>
  <si>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</si>
  <si>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</si>
  <si>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</si>
  <si>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</si>
  <si>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</si>
  <si>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</si>
  <si>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</si>
  <si>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</si>
  <si>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</si>
  <si>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</si>
  <si>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</si>
  <si>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</si>
  <si>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</si>
  <si>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</si>
  <si>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</si>
  <si>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</si>
  <si>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</si>
  <si>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</si>
  <si>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</si>
  <si>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</si>
  <si>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</si>
  <si>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</si>
  <si>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</si>
  <si>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</si>
  <si>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</si>
  <si>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</si>
  <si>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</si>
  <si>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</si>
  <si>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</si>
  <si>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</si>
  <si>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</si>
  <si>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</si>
  <si>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</si>
  <si>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</si>
  <si>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</si>
  <si>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</si>
  <si>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</si>
  <si>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</si>
  <si>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</si>
  <si>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</si>
  <si>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</si>
  <si>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</si>
  <si>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</si>
  <si>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</si>
  <si>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</si>
  <si>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</si>
  <si>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</si>
  <si>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</si>
  <si>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</si>
  <si>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</si>
  <si>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</si>
  <si>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</si>
  <si>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</si>
  <si>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</si>
  <si>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</si>
  <si>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</si>
  <si>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</si>
  <si>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</si>
  <si>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</si>
  <si>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</si>
  <si>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</si>
  <si>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</si>
  <si>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</si>
  <si>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</si>
  <si>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</si>
  <si>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</si>
  <si>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</si>
  <si>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</si>
  <si>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</si>
  <si>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</si>
  <si>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</si>
  <si>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</si>
  <si>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</si>
  <si>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</si>
  <si>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</si>
  <si>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</si>
  <si>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</si>
  <si>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</si>
  <si>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</si>
  <si>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</si>
  <si>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</si>
  <si>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</si>
  <si>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</si>
  <si>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</si>
  <si>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</si>
  <si>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</si>
  <si>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</si>
  <si>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</si>
  <si>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</si>
  <si>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</si>
  <si>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</si>
  <si>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</si>
  <si>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</si>
  <si>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</si>
  <si>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</si>
  <si>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</si>
  <si>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</si>
  <si>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</si>
  <si>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</si>
  <si>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</si>
  <si>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</si>
  <si>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</si>
  <si>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</si>
  <si>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</si>
  <si>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</si>
  <si>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</si>
  <si>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</si>
  <si>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</si>
  <si>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</si>
  <si>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</si>
  <si>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</si>
  <si>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</si>
  <si>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</si>
  <si>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</si>
  <si>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</si>
  <si>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</si>
  <si>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</si>
  <si>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</si>
  <si>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</si>
  <si>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</si>
  <si>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</si>
  <si>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</si>
  <si>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</si>
  <si>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</si>
  <si>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</si>
  <si>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</si>
  <si>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</si>
  <si>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</si>
  <si>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</si>
  <si>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</si>
  <si>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</si>
  <si>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</si>
  <si>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</si>
  <si>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</si>
  <si>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</si>
  <si>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</si>
  <si>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</si>
  <si>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</si>
  <si>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</si>
  <si>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</si>
  <si>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</si>
  <si>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</si>
  <si>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</si>
  <si>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</si>
  <si>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</si>
  <si>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</si>
  <si>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</si>
  <si>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</si>
  <si>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</si>
  <si>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</si>
  <si>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</si>
  <si>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</si>
  <si>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</si>
  <si>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</si>
  <si>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</si>
  <si>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</si>
  <si>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</si>
  <si>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</si>
  <si>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</si>
  <si>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</si>
  <si>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</si>
  <si>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</si>
  <si>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</si>
  <si>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</si>
  <si>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</si>
  <si>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</si>
  <si>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</si>
  <si>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</si>
  <si>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</si>
  <si>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</si>
  <si>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</si>
  <si>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</si>
  <si>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</si>
  <si>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</si>
  <si>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</si>
  <si>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</si>
  <si>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</si>
  <si>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</si>
  <si>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</si>
  <si>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</si>
  <si>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</si>
  <si>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</si>
  <si>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</si>
  <si>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</si>
  <si>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</si>
  <si>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</si>
  <si>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</si>
  <si>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</si>
  <si>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</si>
  <si>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</si>
  <si>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</si>
  <si>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</si>
  <si>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</si>
  <si>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</si>
  <si>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</si>
  <si>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</si>
  <si>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</si>
  <si>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</si>
  <si>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</si>
  <si>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</si>
  <si>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</si>
  <si>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</si>
  <si>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</si>
  <si>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</si>
  <si>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</si>
  <si>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</si>
  <si>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</si>
  <si>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</si>
  <si>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</si>
  <si>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</si>
  <si>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</si>
  <si>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</si>
  <si>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</si>
  <si>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</si>
  <si>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</si>
  <si>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</si>
  <si>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</si>
  <si>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</si>
  <si>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</si>
  <si>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</si>
  <si>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</si>
  <si>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</si>
  <si>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</si>
  <si>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</si>
  <si>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</si>
  <si>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</si>
  <si>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</si>
  <si>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</si>
  <si>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</si>
  <si>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</si>
  <si>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</si>
  <si>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</si>
  <si>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</si>
  <si>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</si>
  <si>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</si>
  <si>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</si>
  <si>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</si>
  <si>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</si>
  <si>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</si>
  <si>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</si>
  <si>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</si>
  <si>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</si>
  <si>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</si>
  <si>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</si>
  <si>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</si>
  <si>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</si>
  <si>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</si>
  <si>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</si>
  <si>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</si>
  <si>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</si>
  <si>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</si>
  <si>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</si>
  <si>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</si>
  <si>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</si>
  <si>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</si>
  <si>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</si>
  <si>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</si>
  <si>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</si>
  <si>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</si>
  <si>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</si>
  <si>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</si>
  <si>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</si>
  <si>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</si>
  <si>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</si>
  <si>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</si>
  <si>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</si>
  <si>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</si>
  <si>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</si>
  <si>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</si>
  <si>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</si>
  <si>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</si>
  <si>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</si>
  <si>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</si>
  <si>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</si>
  <si>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</si>
  <si>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</si>
  <si>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</si>
  <si>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</si>
  <si>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</si>
  <si>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</si>
  <si>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</si>
  <si>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</si>
  <si>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</si>
  <si>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</si>
  <si>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</si>
  <si>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</si>
  <si>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</si>
  <si>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</si>
  <si>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</si>
  <si>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</si>
  <si>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</si>
  <si>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</si>
  <si>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</si>
  <si>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</si>
  <si>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</si>
  <si>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</si>
  <si>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</si>
  <si>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</si>
  <si>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</si>
  <si>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</si>
  <si>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</si>
  <si>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</si>
  <si>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</si>
  <si>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</si>
  <si>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</si>
  <si>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</si>
  <si>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</si>
  <si>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</si>
  <si>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</si>
  <si>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</si>
  <si>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</si>
  <si>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</si>
  <si>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</si>
  <si>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</si>
  <si>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</si>
  <si>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</si>
  <si>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</si>
  <si>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</si>
  <si>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</si>
  <si>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</si>
  <si>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</si>
  <si>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</si>
  <si>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</si>
  <si>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</si>
  <si>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</si>
  <si>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</si>
  <si>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</si>
  <si>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</si>
  <si>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</si>
  <si>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</si>
  <si>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</si>
  <si>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</si>
  <si>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</si>
  <si>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</si>
  <si>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</si>
  <si>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</si>
  <si>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</si>
  <si>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</si>
  <si>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</si>
  <si>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</si>
  <si>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</si>
  <si>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</si>
  <si>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</si>
  <si>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</si>
  <si>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</si>
  <si>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</si>
  <si>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</si>
  <si>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</si>
  <si>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</si>
  <si>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</si>
  <si>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</si>
  <si>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</si>
  <si>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</si>
  <si>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</si>
  <si>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</si>
  <si>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</si>
  <si>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</si>
  <si>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</si>
  <si>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</si>
  <si>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</si>
  <si>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</si>
  <si>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</si>
  <si>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</si>
  <si>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</si>
  <si>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</si>
  <si>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</si>
  <si>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</si>
  <si>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</si>
  <si>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</si>
  <si>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</si>
  <si>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</si>
  <si>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</si>
  <si>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</si>
  <si>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</si>
  <si>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</si>
  <si>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</si>
  <si>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</si>
  <si>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</si>
  <si>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</si>
  <si>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</si>
  <si>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</si>
  <si>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</si>
  <si>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</si>
  <si>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</si>
  <si>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</si>
  <si>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</si>
  <si>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</si>
  <si>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</si>
  <si>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</si>
  <si>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</si>
  <si>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</si>
  <si>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</si>
  <si>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</si>
  <si>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</si>
  <si>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</si>
  <si>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</si>
  <si>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</si>
  <si>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</si>
  <si>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</si>
  <si>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</si>
  <si>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</si>
  <si>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</si>
  <si>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</si>
  <si>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</si>
  <si>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</si>
  <si>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</si>
  <si>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</si>
  <si>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</si>
  <si>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</si>
  <si>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</si>
  <si>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</si>
  <si>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</si>
  <si>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</si>
  <si>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</si>
  <si>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</si>
  <si>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</si>
  <si>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</si>
  <si>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</si>
  <si>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</si>
  <si>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</si>
  <si>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</si>
  <si>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</si>
  <si>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</si>
  <si>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</si>
  <si>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</si>
  <si>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</si>
  <si>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</si>
  <si>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</si>
  <si>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</si>
  <si>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</si>
  <si>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</si>
  <si>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</si>
  <si>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</si>
  <si>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</si>
  <si>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</si>
  <si>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</si>
  <si>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</si>
  <si>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</si>
  <si>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</si>
  <si>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</si>
  <si>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</si>
  <si>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</si>
  <si>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</si>
  <si>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</si>
  <si>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</si>
  <si>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</si>
  <si>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</si>
  <si>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</si>
  <si>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</si>
  <si>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</si>
  <si>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</si>
  <si>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</si>
  <si>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</si>
  <si>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</si>
  <si>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</si>
  <si>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</si>
  <si>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</si>
  <si>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</si>
  <si>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</si>
  <si>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</si>
  <si>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</si>
  <si>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</si>
  <si>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</si>
  <si>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</si>
  <si>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</si>
  <si>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</si>
  <si>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</si>
  <si>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</si>
  <si>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</si>
  <si>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</si>
  <si>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</si>
  <si>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</si>
  <si>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</si>
  <si>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</si>
  <si>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</si>
  <si>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</si>
  <si>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</si>
  <si>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</si>
  <si>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</si>
  <si>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</si>
  <si>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</si>
  <si>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</si>
  <si>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</si>
  <si>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</si>
  <si>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</si>
  <si>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</si>
  <si>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</si>
  <si>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</si>
  <si>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</si>
  <si>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</si>
  <si>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</si>
  <si>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</si>
  <si>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</si>
  <si>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</si>
  <si>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</si>
  <si>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</si>
  <si>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</si>
  <si>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</si>
  <si>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</si>
  <si>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</si>
  <si>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</si>
  <si>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</si>
  <si>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</si>
  <si>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</si>
  <si>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</si>
  <si>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</si>
  <si>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</si>
  <si>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</si>
  <si>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</si>
  <si>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</si>
  <si>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</si>
  <si>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</si>
  <si>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</si>
  <si>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</si>
  <si>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</si>
  <si>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</si>
  <si>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</si>
  <si>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</si>
  <si>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</si>
  <si>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</si>
  <si>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</si>
  <si>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</si>
  <si>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</si>
  <si>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</si>
  <si>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</si>
  <si>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</si>
  <si>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</si>
  <si>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</si>
  <si>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</si>
  <si>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</si>
  <si>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</si>
  <si>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</si>
  <si>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</si>
  <si>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</si>
  <si>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</si>
  <si>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</si>
  <si>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</si>
  <si>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</si>
  <si>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</si>
  <si>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</si>
  <si>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</si>
  <si>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</si>
  <si>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</si>
  <si>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</si>
  <si>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</si>
  <si>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</si>
  <si>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</si>
  <si>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</si>
  <si>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</si>
  <si>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</si>
  <si>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</si>
  <si>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</si>
  <si>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</si>
  <si>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</si>
  <si>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</si>
  <si>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</si>
  <si>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</si>
  <si>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</si>
  <si>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</si>
  <si>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</si>
  <si>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</si>
  <si>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</si>
  <si>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</si>
  <si>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</si>
  <si>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</si>
  <si>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</si>
  <si>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</si>
  <si>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</si>
  <si>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</si>
  <si>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</si>
  <si>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</si>
  <si>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</si>
  <si>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</si>
  <si>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</si>
  <si>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</si>
  <si>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</si>
  <si>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</si>
  <si>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</si>
  <si>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</si>
  <si>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</si>
  <si>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</si>
  <si>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</si>
  <si>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</si>
  <si>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</si>
  <si>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</si>
  <si>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</si>
  <si>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</si>
  <si>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</si>
  <si>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</si>
  <si>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</si>
  <si>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</si>
  <si>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</si>
  <si>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</si>
  <si>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</si>
  <si>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</si>
  <si>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</si>
  <si>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</si>
  <si>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</si>
  <si>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</si>
  <si>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</si>
  <si>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</si>
  <si>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</si>
  <si>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</si>
  <si>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</si>
  <si>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</si>
  <si>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</si>
  <si>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</si>
  <si>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</si>
  <si>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</si>
  <si>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</si>
  <si>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</si>
  <si>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</si>
  <si>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</si>
  <si>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</si>
  <si>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</si>
  <si>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</si>
  <si>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</si>
  <si>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</si>
  <si>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</si>
  <si>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</si>
  <si>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</si>
  <si>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</si>
  <si>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</si>
  <si>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</si>
  <si>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</si>
  <si>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</si>
  <si>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</si>
  <si>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</si>
  <si>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</si>
  <si>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</si>
  <si>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</si>
  <si>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</si>
  <si>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</si>
  <si>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</si>
  <si>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</si>
  <si>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</si>
  <si>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</si>
  <si>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</si>
  <si>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</si>
  <si>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</si>
  <si>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</si>
  <si>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</si>
  <si>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</si>
  <si>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</si>
  <si>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</si>
  <si>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</si>
  <si>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</si>
  <si>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</si>
  <si>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</si>
  <si>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</si>
  <si>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</si>
  <si>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</si>
  <si>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</si>
  <si>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</si>
  <si>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</si>
  <si>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</si>
  <si>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</si>
  <si>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</si>
  <si>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</si>
  <si>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</si>
  <si>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</si>
  <si>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</si>
  <si>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</si>
  <si>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</si>
  <si>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</si>
  <si>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</si>
  <si>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</si>
  <si>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</si>
  <si>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</si>
  <si>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</si>
  <si>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</si>
  <si>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</si>
  <si>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</si>
  <si>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</si>
  <si>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</si>
  <si>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</si>
  <si>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</si>
  <si>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</si>
  <si>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</si>
  <si>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</si>
  <si>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</si>
  <si>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</si>
  <si>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</si>
  <si>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</si>
  <si>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</si>
  <si>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</si>
  <si>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</si>
  <si>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</si>
  <si>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</si>
  <si>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</si>
  <si>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</si>
  <si>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</si>
  <si>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</si>
  <si>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</si>
  <si>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</si>
  <si>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</si>
  <si>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</si>
  <si>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</si>
  <si>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</si>
  <si>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</si>
  <si>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</si>
  <si>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</si>
  <si>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</si>
  <si>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</si>
  <si>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</si>
  <si>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</si>
  <si>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</si>
  <si>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</si>
  <si>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</si>
  <si>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</si>
  <si>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</si>
  <si>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</si>
  <si>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</si>
  <si>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</si>
  <si>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</si>
  <si>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</si>
  <si>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</si>
  <si>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</si>
  <si>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</si>
  <si>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</si>
  <si>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</si>
  <si>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</si>
  <si>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</si>
  <si>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</si>
  <si>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</si>
  <si>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</si>
  <si>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</si>
  <si>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</si>
  <si>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</si>
  <si>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</si>
  <si>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</si>
  <si>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</si>
  <si>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</si>
  <si>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</si>
  <si>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</si>
  <si>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</si>
  <si>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</si>
  <si>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</si>
  <si>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</si>
  <si>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</si>
  <si>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</si>
  <si>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</si>
  <si>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</si>
  <si>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</si>
  <si>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</si>
  <si>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</si>
  <si>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</si>
  <si>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</si>
  <si>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</si>
  <si>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</si>
  <si>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</si>
  <si>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</si>
  <si>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</si>
  <si>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</si>
  <si>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</si>
  <si>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</si>
  <si>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</si>
  <si>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</si>
  <si>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</si>
  <si>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</si>
  <si>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</si>
  <si>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</si>
  <si>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</si>
  <si>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</si>
  <si>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</si>
  <si>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</si>
  <si>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</si>
  <si>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</si>
  <si>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</si>
  <si>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</si>
  <si>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</si>
  <si>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</si>
  <si>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</si>
  <si>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</si>
  <si>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</si>
  <si>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</si>
  <si>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</si>
  <si>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</si>
  <si>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</si>
  <si>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</si>
  <si>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</si>
  <si>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</si>
  <si>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</si>
  <si>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</si>
  <si>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</si>
  <si>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</si>
  <si>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</si>
  <si>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</si>
  <si>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</si>
  <si>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</si>
  <si>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</si>
  <si>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</si>
  <si>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</si>
  <si>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</si>
  <si>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</si>
  <si>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</si>
  <si>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</si>
  <si>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</si>
  <si>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</si>
  <si>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</si>
  <si>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</si>
  <si>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</si>
  <si>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</si>
  <si>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</si>
  <si>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</si>
  <si>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</si>
  <si>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</si>
  <si>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</si>
  <si>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</si>
  <si>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</si>
  <si>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</si>
  <si>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</si>
  <si>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</si>
  <si>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</si>
  <si>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</si>
  <si>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</si>
  <si>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</si>
  <si>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</si>
  <si>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</si>
  <si>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</si>
  <si>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</si>
  <si>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</si>
  <si>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</si>
  <si>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</si>
  <si>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</si>
  <si>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</si>
  <si>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</si>
  <si>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</si>
  <si>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</si>
  <si>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</si>
  <si>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</si>
  <si>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</si>
  <si>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</si>
  <si>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</si>
  <si>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</si>
  <si>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</si>
  <si>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</si>
  <si>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</si>
  <si>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</si>
  <si>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</si>
  <si>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</si>
  <si>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</si>
  <si>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</si>
  <si>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</si>
  <si>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</si>
  <si>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</si>
  <si>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</si>
  <si>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</si>
  <si>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</si>
  <si>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</si>
  <si>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</si>
  <si>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</si>
  <si>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</si>
  <si>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</si>
  <si>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</si>
  <si>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</si>
  <si>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</si>
  <si>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</si>
  <si>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</si>
  <si>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</si>
  <si>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</si>
  <si>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</si>
  <si>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</si>
  <si>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</si>
  <si>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</si>
  <si>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</si>
  <si>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</si>
  <si>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</si>
  <si>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</si>
  <si>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</si>
  <si>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</si>
  <si>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</si>
  <si>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</si>
  <si>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</si>
  <si>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</si>
  <si>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</si>
  <si>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</si>
  <si>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</si>
  <si>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</si>
  <si>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</si>
  <si>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</si>
  <si>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</si>
  <si>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</si>
  <si>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</si>
  <si>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</si>
  <si>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</si>
  <si>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</si>
  <si>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</si>
  <si>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</si>
  <si>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</si>
  <si>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</si>
  <si>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</si>
  <si>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</si>
  <si>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</si>
  <si>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</si>
  <si>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</si>
  <si>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</si>
  <si>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</si>
  <si>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</si>
  <si>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</si>
  <si>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</si>
  <si>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</si>
  <si>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</si>
  <si>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</si>
  <si>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</si>
  <si>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</si>
  <si>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</si>
  <si>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</si>
  <si>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</si>
  <si>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</si>
  <si>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</si>
  <si>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</si>
  <si>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</si>
  <si>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</si>
  <si>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</si>
  <si>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</si>
  <si>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</si>
  <si>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</si>
  <si>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</si>
  <si>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</si>
  <si>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</si>
  <si>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</si>
  <si>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</si>
  <si>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</si>
  <si>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</si>
  <si>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</si>
  <si>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</si>
  <si>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</si>
  <si>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</si>
  <si>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</si>
  <si>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</si>
  <si>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</si>
  <si>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</si>
  <si>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</si>
  <si>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</si>
  <si>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</si>
  <si>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</si>
  <si>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</si>
  <si>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</si>
  <si>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</si>
  <si>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</si>
  <si>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</si>
  <si>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</si>
  <si>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</si>
  <si>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</si>
  <si>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</si>
  <si>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</si>
  <si>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</si>
  <si>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</si>
  <si>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</si>
  <si>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</si>
  <si>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</si>
  <si>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</si>
  <si>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</si>
  <si>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</si>
  <si>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</si>
  <si>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</si>
  <si>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</si>
  <si>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</si>
  <si>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</si>
  <si>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</si>
  <si>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</si>
  <si>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</si>
  <si>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</si>
  <si>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</si>
  <si>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</si>
  <si>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</si>
  <si>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</si>
  <si>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</si>
  <si>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</si>
  <si>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</si>
  <si>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</si>
  <si>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</si>
  <si>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</si>
  <si>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</si>
  <si>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</si>
  <si>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</si>
  <si>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</si>
  <si>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</si>
  <si>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</si>
  <si>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</si>
  <si>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</si>
  <si>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</si>
  <si>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</si>
  <si>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</si>
  <si>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</si>
  <si>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</si>
  <si>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</si>
  <si>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</si>
  <si>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</si>
  <si>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</si>
  <si>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</si>
  <si>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</si>
  <si>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</si>
  <si>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</si>
  <si>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</si>
  <si>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</si>
  <si>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</si>
  <si>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</si>
  <si>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</si>
  <si>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</si>
  <si>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</si>
  <si>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</si>
  <si>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</si>
  <si>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</si>
  <si>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</si>
  <si>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</si>
  <si>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</si>
  <si>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</si>
  <si>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</si>
  <si>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</si>
  <si>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</si>
  <si>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</si>
  <si>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</si>
  <si>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</si>
  <si>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</si>
  <si>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</si>
  <si>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</si>
  <si>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</si>
  <si>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</si>
  <si>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</si>
  <si>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</si>
  <si>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</si>
  <si>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</si>
  <si>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</si>
  <si>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</si>
  <si>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</si>
  <si>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</si>
  <si>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</si>
  <si>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</si>
  <si>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</si>
  <si>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</si>
  <si>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</si>
  <si>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</si>
  <si>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</si>
  <si>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</si>
  <si>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</si>
  <si>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</si>
  <si>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</si>
  <si>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</si>
  <si>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</si>
  <si>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</si>
  <si>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</si>
  <si>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</si>
  <si>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</si>
  <si>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</si>
  <si>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</si>
  <si>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</si>
  <si>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</si>
  <si>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</si>
  <si>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</si>
  <si>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</si>
  <si>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</si>
  <si>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</si>
  <si>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</si>
  <si>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</si>
  <si>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</si>
  <si>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</si>
  <si>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</si>
  <si>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</si>
  <si>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</si>
  <si>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</si>
  <si>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</si>
  <si>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</si>
  <si>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</si>
  <si>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</si>
  <si>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</si>
  <si>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</si>
  <si>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</si>
  <si>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</si>
  <si>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</si>
  <si>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</si>
  <si>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</si>
  <si>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</si>
  <si>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</si>
  <si>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</si>
  <si>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</si>
  <si>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</si>
  <si>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</si>
  <si>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</si>
  <si>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</si>
  <si>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</si>
  <si>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</si>
  <si>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</si>
  <si>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</si>
  <si>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</si>
  <si>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</si>
  <si>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</si>
  <si>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</si>
  <si>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</si>
  <si>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</si>
  <si>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</si>
  <si>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</si>
  <si>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</si>
  <si>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</si>
  <si>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</si>
  <si>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</si>
  <si>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</si>
  <si>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</si>
  <si>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</si>
  <si>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</si>
  <si>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</si>
  <si>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</si>
  <si>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</si>
  <si>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</si>
  <si>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</si>
  <si>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</si>
  <si>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</si>
  <si>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</si>
  <si>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</si>
  <si>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</si>
  <si>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</si>
  <si>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</si>
  <si>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</si>
  <si>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</si>
  <si>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</si>
  <si>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</si>
  <si>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</si>
  <si>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</si>
  <si>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</si>
  <si>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</si>
  <si>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</si>
  <si>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</si>
  <si>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</si>
  <si>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</si>
  <si>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</si>
  <si>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</si>
  <si>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</si>
  <si>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</si>
  <si>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</si>
  <si>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</si>
  <si>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</si>
  <si>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</si>
  <si>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</si>
  <si>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</si>
  <si>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</si>
  <si>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</si>
  <si>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</si>
  <si>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</si>
  <si>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</si>
  <si>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</si>
  <si>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</si>
  <si>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</si>
  <si>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</si>
  <si>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</si>
  <si>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</si>
  <si>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</si>
  <si>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</si>
  <si>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</si>
  <si>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</si>
  <si>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</si>
  <si>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</si>
  <si>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</si>
  <si>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</si>
  <si>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</si>
  <si>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</si>
  <si>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</si>
  <si>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</si>
  <si>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</si>
  <si>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</si>
  <si>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</si>
  <si>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</si>
  <si>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</si>
  <si>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</si>
  <si>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</si>
  <si>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</si>
  <si>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</si>
  <si>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</si>
  <si>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</si>
  <si>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</si>
  <si>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</si>
  <si>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</si>
  <si>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</si>
  <si>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</si>
  <si>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</si>
  <si>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</si>
  <si>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</si>
  <si>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</si>
  <si>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</si>
  <si>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</si>
  <si>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</si>
  <si>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</si>
  <si>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</si>
  <si>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</si>
  <si>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</si>
  <si>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</si>
  <si>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</si>
  <si>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</si>
  <si>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</si>
  <si>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</si>
  <si>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</si>
  <si>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</si>
  <si>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</si>
  <si>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</si>
  <si>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</si>
  <si>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</si>
  <si>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</si>
  <si>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</si>
  <si>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</si>
  <si>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</si>
  <si>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</si>
  <si>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</si>
  <si>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</si>
  <si>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</si>
  <si>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</si>
  <si>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</si>
  <si>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</si>
  <si>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</si>
  <si>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</si>
  <si>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</si>
  <si>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</si>
  <si>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</si>
  <si>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</si>
  <si>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</si>
  <si>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</si>
  <si>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</si>
  <si>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</si>
  <si>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</si>
  <si>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</si>
  <si>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</si>
  <si>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</si>
  <si>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</si>
  <si>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</si>
  <si>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</si>
  <si>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</si>
  <si>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</si>
  <si>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</si>
  <si>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</si>
  <si>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</si>
  <si>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</si>
  <si>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</si>
  <si>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</si>
  <si>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</si>
  <si>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</si>
  <si>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</si>
  <si>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</si>
  <si>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</si>
  <si>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</si>
  <si>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</si>
  <si>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</si>
  <si>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</si>
  <si>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</si>
  <si>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</si>
  <si>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</si>
  <si>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</si>
  <si>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</si>
  <si>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</si>
  <si>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</si>
  <si>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</si>
  <si>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</si>
  <si>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</si>
  <si>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</si>
  <si>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</si>
  <si>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</si>
  <si>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</si>
  <si>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</si>
  <si>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</si>
  <si>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</si>
  <si>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</si>
  <si>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</si>
  <si>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</si>
  <si>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</si>
  <si>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</si>
  <si>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</si>
  <si>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</si>
  <si>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</si>
  <si>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</si>
  <si>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</si>
  <si>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</si>
  <si>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</si>
  <si>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</si>
  <si>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</si>
  <si>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</si>
  <si>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</si>
  <si>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</si>
  <si>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</si>
  <si>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</si>
  <si>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</si>
  <si>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</si>
  <si>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</si>
  <si>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</si>
  <si>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</si>
  <si>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</si>
  <si>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</si>
  <si>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</si>
  <si>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</si>
  <si>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</si>
  <si>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</si>
  <si>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</si>
  <si>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</si>
  <si>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</si>
  <si>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</si>
  <si>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</si>
  <si>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</si>
  <si>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</si>
  <si>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</si>
  <si>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</si>
  <si>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</si>
  <si>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</si>
  <si>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</si>
  <si>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</si>
  <si>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</si>
  <si>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</si>
  <si>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</si>
  <si>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</si>
  <si>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</si>
  <si>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</si>
  <si>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</si>
  <si>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</si>
  <si>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</si>
  <si>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</si>
  <si>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</si>
  <si>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</si>
  <si>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</si>
  <si>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</si>
  <si>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</si>
  <si>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</si>
  <si>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</si>
  <si>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</si>
  <si>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</si>
  <si>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</si>
  <si>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</si>
  <si>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</si>
  <si>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</si>
  <si>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</si>
  <si>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</si>
  <si>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</si>
  <si>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</si>
  <si>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</si>
  <si>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</si>
  <si>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</si>
  <si>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</si>
  <si>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</si>
  <si>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</si>
  <si>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</si>
  <si>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</si>
  <si>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</si>
  <si>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</si>
  <si>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</si>
  <si>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</si>
  <si>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</si>
  <si>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</si>
  <si>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</si>
  <si>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</si>
  <si>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</si>
  <si>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</si>
  <si>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</si>
  <si>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</si>
  <si>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</si>
  <si>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</si>
  <si>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</si>
  <si>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</si>
  <si>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</si>
  <si>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</si>
  <si>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</si>
  <si>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</si>
  <si>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</si>
  <si>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</si>
  <si>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</si>
  <si>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</si>
  <si>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</si>
  <si>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</si>
  <si>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</si>
  <si>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</si>
  <si>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</si>
  <si>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</si>
  <si>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</si>
  <si>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</si>
  <si>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</si>
  <si>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</si>
  <si>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</si>
  <si>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</si>
  <si>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</si>
  <si>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</si>
  <si>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</si>
  <si>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</si>
  <si>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</si>
  <si>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</si>
  <si>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</si>
  <si>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</si>
  <si>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</si>
  <si>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</si>
  <si>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</si>
  <si>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</si>
  <si>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</si>
  <si>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</si>
  <si>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</si>
  <si>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</si>
  <si>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</si>
  <si>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</si>
  <si>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</si>
  <si>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</si>
  <si>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</si>
  <si>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</si>
  <si>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</si>
  <si>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</si>
  <si>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</si>
  <si>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</si>
  <si>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</si>
  <si>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</si>
  <si>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</si>
  <si>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</si>
  <si>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</si>
  <si>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</si>
  <si>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</si>
  <si>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</si>
  <si>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</si>
  <si>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</si>
  <si>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</si>
  <si>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</si>
  <si>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</si>
  <si>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</si>
  <si>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</si>
  <si>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</si>
  <si>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</si>
  <si>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</si>
  <si>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</si>
  <si>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</si>
  <si>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</si>
  <si>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</si>
  <si>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</si>
  <si>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</si>
  <si>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</si>
  <si>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</si>
  <si>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</si>
  <si>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</si>
  <si>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</si>
  <si>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</si>
  <si>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</si>
  <si>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</si>
  <si>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</si>
  <si>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</si>
  <si>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</si>
  <si>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</si>
  <si>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</si>
  <si>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</si>
  <si>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</si>
  <si>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</si>
  <si>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</si>
  <si>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</si>
  <si>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</si>
  <si>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</si>
  <si>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</si>
  <si>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</si>
  <si>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</si>
  <si>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</si>
  <si>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</si>
  <si>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</si>
  <si>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</si>
  <si>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</si>
  <si>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</si>
  <si>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</si>
  <si>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</si>
  <si>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</si>
  <si>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</si>
  <si>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</si>
  <si>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</si>
  <si>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</si>
  <si>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</si>
  <si>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</si>
  <si>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</si>
  <si>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</si>
  <si>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</si>
  <si>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</si>
  <si>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</si>
  <si>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</si>
  <si>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</si>
  <si>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</si>
  <si>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</si>
  <si>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</si>
  <si>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</si>
  <si>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</si>
  <si>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</si>
  <si>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</si>
  <si>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</si>
  <si>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</si>
  <si>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</si>
  <si>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</si>
  <si>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</si>
  <si>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</si>
  <si>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</si>
  <si>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</si>
  <si>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</si>
  <si>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</si>
  <si>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</si>
  <si>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</si>
  <si>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</si>
  <si>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</si>
  <si>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</si>
  <si>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</si>
  <si>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</si>
  <si>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</si>
  <si>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</si>
  <si>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</si>
  <si>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</si>
  <si>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</si>
  <si>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</si>
  <si>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</si>
  <si>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</si>
  <si>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</si>
  <si>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</si>
  <si>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</si>
  <si>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</si>
  <si>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</si>
  <si>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</si>
  <si>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</si>
  <si>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</si>
  <si>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</si>
  <si>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</si>
  <si>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</si>
  <si>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</si>
  <si>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</si>
  <si>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</si>
  <si>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</si>
  <si>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</si>
  <si>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</si>
  <si>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</si>
  <si>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</si>
  <si>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</si>
  <si>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</si>
  <si>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</si>
  <si>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</si>
  <si>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</si>
  <si>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</si>
  <si>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</si>
  <si>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</si>
  <si>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</si>
  <si>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</si>
  <si>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</si>
  <si>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</si>
  <si>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</si>
  <si>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</si>
  <si>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</si>
  <si>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</si>
  <si>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</si>
  <si>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</si>
  <si>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</si>
  <si>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</si>
  <si>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</si>
  <si>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</si>
  <si>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</si>
  <si>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</si>
  <si>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</si>
  <si>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</si>
  <si>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</si>
  <si>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</si>
  <si>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</si>
  <si>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</si>
  <si>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</si>
  <si>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</si>
  <si>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</si>
  <si>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</si>
  <si>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</si>
  <si>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</si>
  <si>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</si>
  <si>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</si>
  <si>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</si>
  <si>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</si>
  <si>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</si>
  <si>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</si>
  <si>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</si>
  <si>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</si>
  <si>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</si>
  <si>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</si>
  <si>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</si>
  <si>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</si>
  <si>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</si>
  <si>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</si>
  <si>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</si>
  <si>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</si>
  <si>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</si>
  <si>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</si>
  <si>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</si>
  <si>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</si>
  <si>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</si>
  <si>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</si>
  <si>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</si>
  <si>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</si>
  <si>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</si>
  <si>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</si>
  <si>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</si>
  <si>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</si>
  <si>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</si>
  <si>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</si>
  <si>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</si>
  <si>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</si>
  <si>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</si>
  <si>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</si>
  <si>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</si>
  <si>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</si>
  <si>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</si>
  <si>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</si>
  <si>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</si>
  <si>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</si>
  <si>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</si>
  <si>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</si>
  <si>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</si>
  <si>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</si>
  <si>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</si>
  <si>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</si>
  <si>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</si>
  <si>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</si>
  <si>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</si>
  <si>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</si>
  <si>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</si>
  <si>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</si>
  <si>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</si>
  <si>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</si>
  <si>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</si>
  <si>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</si>
  <si>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</si>
  <si>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</si>
  <si>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</si>
  <si>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</si>
  <si>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</si>
  <si>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</si>
  <si>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</si>
  <si>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</si>
  <si>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</si>
  <si>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</si>
  <si>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</si>
  <si>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</si>
  <si>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</si>
  <si>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</si>
  <si>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</si>
  <si>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</si>
  <si>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</si>
  <si>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</si>
  <si>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</si>
  <si>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</si>
  <si>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</si>
  <si>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</si>
  <si>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</si>
  <si>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</si>
  <si>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</si>
  <si>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</si>
  <si>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</si>
  <si>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</si>
  <si>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</si>
  <si>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</si>
  <si>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</si>
  <si>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</si>
  <si>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</si>
  <si>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</si>
  <si>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</si>
  <si>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</si>
  <si>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</si>
  <si>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</si>
  <si>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</si>
  <si>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</si>
  <si>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</si>
  <si>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</si>
  <si>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</si>
  <si>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</si>
  <si>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</si>
  <si>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</si>
  <si>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</si>
  <si>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</si>
  <si>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</si>
  <si>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</si>
  <si>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</si>
  <si>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</si>
  <si>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</si>
  <si>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</si>
  <si>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</si>
  <si>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</si>
  <si>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</si>
  <si>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</si>
  <si>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</si>
  <si>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</si>
  <si>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</si>
  <si>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</si>
  <si>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</si>
  <si>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</si>
  <si>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</si>
  <si>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</si>
  <si>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</si>
  <si>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</si>
  <si>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</si>
  <si>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</si>
  <si>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</si>
  <si>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</si>
  <si>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</si>
  <si>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</si>
  <si>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</si>
  <si>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</si>
  <si>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</si>
  <si>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</si>
  <si>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</si>
  <si>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</si>
  <si>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</si>
  <si>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</si>
  <si>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</si>
  <si>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</si>
  <si>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</si>
  <si>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</si>
  <si>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</si>
  <si>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</si>
  <si>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</si>
  <si>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</si>
  <si>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</si>
  <si>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</si>
  <si>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</si>
  <si>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</si>
  <si>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</si>
  <si>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</si>
  <si>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</si>
  <si>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</si>
  <si>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</si>
  <si>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</si>
  <si>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</si>
  <si>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</si>
  <si>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</si>
  <si>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</si>
  <si>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</si>
  <si>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</si>
  <si>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</si>
  <si>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</si>
  <si>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</si>
  <si>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</si>
  <si>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</si>
  <si>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</si>
  <si>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</si>
  <si>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</si>
  <si>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</si>
  <si>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</si>
  <si>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</si>
  <si>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</si>
  <si>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</si>
  <si>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</si>
  <si>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</si>
  <si>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</si>
  <si>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</si>
  <si>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</si>
  <si>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</si>
  <si>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</si>
  <si>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</si>
  <si>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</si>
  <si>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</si>
  <si>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</si>
  <si>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</si>
  <si>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</si>
  <si>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</si>
  <si>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</si>
  <si>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</si>
  <si>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</si>
  <si>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</si>
  <si>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</si>
  <si>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</si>
  <si>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</si>
  <si>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</si>
  <si>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</si>
  <si>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</si>
  <si>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</si>
  <si>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</si>
  <si>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</si>
  <si>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</si>
  <si>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</si>
  <si>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</si>
  <si>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</si>
  <si>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</si>
  <si>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</si>
  <si>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</si>
  <si>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</si>
  <si>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</si>
  <si>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</si>
  <si>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</si>
  <si>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</si>
  <si>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</si>
  <si>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</si>
  <si>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</si>
  <si>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</si>
  <si>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</si>
  <si>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</si>
  <si>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</si>
  <si>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</si>
  <si>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</si>
  <si>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</si>
  <si>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</si>
  <si>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</si>
  <si>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</si>
  <si>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</si>
  <si>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</si>
  <si>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</si>
  <si>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</si>
  <si>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</si>
  <si>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</si>
  <si>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</si>
  <si>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</si>
  <si>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</si>
  <si>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</si>
  <si>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</si>
  <si>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</si>
  <si>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</si>
  <si>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</si>
  <si>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</si>
  <si>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</si>
  <si>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</si>
  <si>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</si>
  <si>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</si>
  <si>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</si>
  <si>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</si>
  <si>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</si>
  <si>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</si>
  <si>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</si>
  <si>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</si>
  <si>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</si>
  <si>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</si>
  <si>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</si>
  <si>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</si>
  <si>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</si>
  <si>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</si>
  <si>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</si>
  <si>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</si>
  <si>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</si>
  <si>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</si>
  <si>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</si>
  <si>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</si>
  <si>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</si>
  <si>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</si>
  <si>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</si>
  <si>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</si>
  <si>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</si>
  <si>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</si>
  <si>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</si>
  <si>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</si>
  <si>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</si>
  <si>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</si>
  <si>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</si>
  <si>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</si>
  <si>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</si>
  <si>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</si>
  <si>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</si>
  <si>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</si>
  <si>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</si>
  <si>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</si>
  <si>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</si>
  <si>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</si>
  <si>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</si>
  <si>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</si>
  <si>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</si>
  <si>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</si>
  <si>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</si>
  <si>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</si>
  <si>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</si>
  <si>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</si>
  <si>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</si>
  <si>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</si>
  <si>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</si>
  <si>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</si>
  <si>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</si>
  <si>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</si>
  <si>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</si>
  <si>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</si>
  <si>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</si>
  <si>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</si>
  <si>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</si>
  <si>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</si>
  <si>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</si>
  <si>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</si>
  <si>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</si>
  <si>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</si>
  <si>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</si>
  <si>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</si>
  <si>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</si>
  <si>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</si>
  <si>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</si>
  <si>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</si>
  <si>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</si>
  <si>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</si>
  <si>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</si>
  <si>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</si>
  <si>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</si>
  <si>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</si>
  <si>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</si>
  <si>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</si>
  <si>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</si>
  <si>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</si>
  <si>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</si>
  <si>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</si>
  <si>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</si>
  <si>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</si>
  <si>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</si>
  <si>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</si>
  <si>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</si>
  <si>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</si>
  <si>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</si>
  <si>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</si>
  <si>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</si>
  <si>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</si>
  <si>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</si>
  <si>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</si>
  <si>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</si>
  <si>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</si>
  <si>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</si>
  <si>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</si>
  <si>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</si>
  <si>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</si>
  <si>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</si>
  <si>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</si>
  <si>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</si>
  <si>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</si>
  <si>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</si>
  <si>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</si>
  <si>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</si>
  <si>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</si>
  <si>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</si>
  <si>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</si>
  <si>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</si>
  <si>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</si>
  <si>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</si>
  <si>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</si>
  <si>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</si>
  <si>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</si>
  <si>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</si>
  <si>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</si>
  <si>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</si>
  <si>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</si>
  <si>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</si>
  <si>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</si>
  <si>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</si>
  <si>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</si>
  <si>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</si>
  <si>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</si>
  <si>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</si>
  <si>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</si>
  <si>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</si>
  <si>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</si>
  <si>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</si>
  <si>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</si>
  <si>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</si>
  <si>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</si>
  <si>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</si>
  <si>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</si>
  <si>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</si>
  <si>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</si>
  <si>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</si>
  <si>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</si>
  <si>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</si>
  <si>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</si>
  <si>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</si>
  <si>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</si>
  <si>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</si>
  <si>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</si>
  <si>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</si>
  <si>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</si>
  <si>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</si>
  <si>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</si>
  <si>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</si>
  <si>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</si>
  <si>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</si>
  <si>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</si>
  <si>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</si>
  <si>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</si>
  <si>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</si>
  <si>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</si>
  <si>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</si>
  <si>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</si>
  <si>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</si>
  <si>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</si>
  <si>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</si>
  <si>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</si>
  <si>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</si>
  <si>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</si>
  <si>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</si>
  <si>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</si>
  <si>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</si>
  <si>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</si>
  <si>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</si>
  <si>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</si>
  <si>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</si>
  <si>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</si>
  <si>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</si>
  <si>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</si>
  <si>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</si>
  <si>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</si>
  <si>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</si>
  <si>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</si>
  <si>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</si>
  <si>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</si>
  <si>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</si>
  <si>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</si>
  <si>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</si>
  <si>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</si>
  <si>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</si>
  <si>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</si>
  <si>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</si>
  <si>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</si>
  <si>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</si>
  <si>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</si>
  <si>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</si>
  <si>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</si>
  <si>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</si>
  <si>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</si>
  <si>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</si>
  <si>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</si>
  <si>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</si>
  <si>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</si>
  <si>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</si>
  <si>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</si>
  <si>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</si>
  <si>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</si>
  <si>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</si>
  <si>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</si>
  <si>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</si>
  <si>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</si>
  <si>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</si>
  <si>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</si>
  <si>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</si>
  <si>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</si>
  <si>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</si>
  <si>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</si>
  <si>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</si>
  <si>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</si>
  <si>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</si>
  <si>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</si>
  <si>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</si>
  <si>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</si>
  <si>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</si>
  <si>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</si>
  <si>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</si>
  <si>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</si>
  <si>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</si>
  <si>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</si>
  <si>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</si>
  <si>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</si>
  <si>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</si>
  <si>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</si>
  <si>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</si>
  <si>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</si>
  <si>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</si>
  <si>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</si>
  <si>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</si>
  <si>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</si>
  <si>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</si>
  <si>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</si>
  <si>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</si>
  <si>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</si>
  <si>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</si>
  <si>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</si>
  <si>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</si>
  <si>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</si>
  <si>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</si>
  <si>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</si>
  <si>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</si>
  <si>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</si>
  <si>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</si>
  <si>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</si>
  <si>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</si>
  <si>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</si>
  <si>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</si>
  <si>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</si>
  <si>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</si>
  <si>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</si>
  <si>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</si>
  <si>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</si>
  <si>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</si>
  <si>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</si>
  <si>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</si>
  <si>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</si>
  <si>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</si>
  <si>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</si>
  <si>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</si>
  <si>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</si>
  <si>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</si>
  <si>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</si>
  <si>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</si>
  <si>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</si>
  <si>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</si>
  <si>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</si>
  <si>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</si>
  <si>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</si>
  <si>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</si>
  <si>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</si>
  <si>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</si>
  <si>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</si>
  <si>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</si>
  <si>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</si>
  <si>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</si>
  <si>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</si>
  <si>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</si>
  <si>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</si>
  <si>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</si>
  <si>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</si>
  <si>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</si>
  <si>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</si>
  <si>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</si>
  <si>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</si>
  <si>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</si>
  <si>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</si>
  <si>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</si>
  <si>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</si>
  <si>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</si>
  <si>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</si>
  <si>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</si>
  <si>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</si>
  <si>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</si>
  <si>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</si>
  <si>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</si>
  <si>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</si>
  <si>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</si>
  <si>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</si>
  <si>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</si>
  <si>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</si>
  <si>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</si>
  <si>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</si>
  <si>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</si>
  <si>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</si>
  <si>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</si>
  <si>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</si>
  <si>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</si>
  <si>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</si>
  <si>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</si>
  <si>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</si>
  <si>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</si>
  <si>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</si>
  <si>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</si>
  <si>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</si>
  <si>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</si>
  <si>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</si>
  <si>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</si>
  <si>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</si>
  <si>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</si>
  <si>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</si>
  <si>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</si>
  <si>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</si>
  <si>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</si>
  <si>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</si>
  <si>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</si>
  <si>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</si>
  <si>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</si>
  <si>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</si>
  <si>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</si>
  <si>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</si>
  <si>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</si>
  <si>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</si>
  <si>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</si>
  <si>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</si>
  <si>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</si>
  <si>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</si>
  <si>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</si>
  <si>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</si>
  <si>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</si>
  <si>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</si>
  <si>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</si>
  <si>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</si>
  <si>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</si>
  <si>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</si>
  <si>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</si>
  <si>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</si>
  <si>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</si>
  <si>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</si>
  <si>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</si>
  <si>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</si>
  <si>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</si>
  <si>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</si>
  <si>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</si>
  <si>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</si>
  <si>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</si>
  <si>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</si>
  <si>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</si>
  <si>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</si>
  <si>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</si>
  <si>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</si>
  <si>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</si>
  <si>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</si>
  <si>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</si>
  <si>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</si>
  <si>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</si>
  <si>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</si>
  <si>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</si>
  <si>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</si>
  <si>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</si>
  <si>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</si>
  <si>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</si>
  <si>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</si>
  <si>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</si>
  <si>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</si>
  <si>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</si>
  <si>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</si>
  <si>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</si>
  <si>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</si>
  <si>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</si>
  <si>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</si>
  <si>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</si>
  <si>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</si>
  <si>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</si>
  <si>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</si>
  <si>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</si>
  <si>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</si>
  <si>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</si>
  <si>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</si>
  <si>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</si>
  <si>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</si>
  <si>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</si>
  <si>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</si>
  <si>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</si>
  <si>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</si>
  <si>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</si>
  <si>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</si>
  <si>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</si>
  <si>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</si>
  <si>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</si>
  <si>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</si>
  <si>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</si>
  <si>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</si>
  <si>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</si>
  <si>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</si>
  <si>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</si>
  <si>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</si>
  <si>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</si>
  <si>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</si>
  <si>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</si>
  <si>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</si>
  <si>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</si>
  <si>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</si>
  <si>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</si>
  <si>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</si>
  <si>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</si>
  <si>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</si>
  <si>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</si>
  <si>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</si>
  <si>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</si>
  <si>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</si>
  <si>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</si>
  <si>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</si>
  <si>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</si>
  <si>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</si>
  <si>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</si>
  <si>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</si>
  <si>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</si>
  <si>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</si>
  <si>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</si>
  <si>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</si>
  <si>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</si>
  <si>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</si>
  <si>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</si>
  <si>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</si>
  <si>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</si>
  <si>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</si>
  <si>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</si>
  <si>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</si>
  <si>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</si>
  <si>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</si>
  <si>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</si>
  <si>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</si>
  <si>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</si>
  <si>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</si>
  <si>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</si>
  <si>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</si>
  <si>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</si>
  <si>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</si>
  <si>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</si>
  <si>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</si>
  <si>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</si>
  <si>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</si>
  <si>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</si>
  <si>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</si>
  <si>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</si>
  <si>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</si>
  <si>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</si>
  <si>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</si>
  <si>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</si>
  <si>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</si>
  <si>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</si>
  <si>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</si>
  <si>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</si>
  <si>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</si>
  <si>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</si>
  <si>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</si>
  <si>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</si>
  <si>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</si>
  <si>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</si>
  <si>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</si>
  <si>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</si>
  <si>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</si>
  <si>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</si>
  <si>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</si>
  <si>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</si>
  <si>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</si>
  <si>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</si>
  <si>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</si>
  <si>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</si>
  <si>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</si>
  <si>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</si>
  <si>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</si>
  <si>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</si>
  <si>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</si>
  <si>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</si>
  <si>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</si>
  <si>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</si>
  <si>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</si>
  <si>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</si>
  <si>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</si>
  <si>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</si>
  <si>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</si>
  <si>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</si>
  <si>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</si>
  <si>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</si>
  <si>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</si>
  <si>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</si>
  <si>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</si>
  <si>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</si>
  <si>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</si>
  <si>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</si>
  <si>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</si>
  <si>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</si>
  <si>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</si>
  <si>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</si>
  <si>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</si>
  <si>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</si>
  <si>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</si>
  <si>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</si>
  <si>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</si>
  <si>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</si>
  <si>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</si>
  <si>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</si>
  <si>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</si>
  <si>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</si>
  <si>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</si>
  <si>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</si>
  <si>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</si>
  <si>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</si>
  <si>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</si>
  <si>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</si>
  <si>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</si>
  <si>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</si>
  <si>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</si>
  <si>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</si>
  <si>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</si>
  <si>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</si>
  <si>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</si>
  <si>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</si>
  <si>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</si>
  <si>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</si>
  <si>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</si>
  <si>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</si>
  <si>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</si>
  <si>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</si>
  <si>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</si>
  <si>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</si>
  <si>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</si>
  <si>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</si>
  <si>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</si>
  <si>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</si>
  <si>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</si>
  <si>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</si>
  <si>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</si>
  <si>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</si>
  <si>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</si>
  <si>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</si>
  <si>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</si>
  <si>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</si>
  <si>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</si>
  <si>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</si>
  <si>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</si>
  <si>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</si>
  <si>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</si>
  <si>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</si>
  <si>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</si>
  <si>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</si>
  <si>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</si>
  <si>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</si>
  <si>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</si>
  <si>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</si>
  <si>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</si>
  <si>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</si>
  <si>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</si>
  <si>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</si>
  <si>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</si>
  <si>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</si>
  <si>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</si>
  <si>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</si>
  <si>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</si>
  <si>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</si>
  <si>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</si>
  <si>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</si>
  <si>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</si>
  <si>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</si>
  <si>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</si>
  <si>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</si>
  <si>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</si>
  <si>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</si>
  <si>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</si>
  <si>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</si>
  <si>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</si>
  <si>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</si>
  <si>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</si>
  <si>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</si>
  <si>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</si>
  <si>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</si>
  <si>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</si>
  <si>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</si>
  <si>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</si>
  <si>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</si>
  <si>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</si>
  <si>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</si>
  <si>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</si>
  <si>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</si>
  <si>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</si>
  <si>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</si>
  <si>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</si>
  <si>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</si>
  <si>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</si>
  <si>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</si>
  <si>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</si>
  <si>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</si>
  <si>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</si>
  <si>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</si>
  <si>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</si>
  <si>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</si>
  <si>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</si>
  <si>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</si>
  <si>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</si>
  <si>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</si>
  <si>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</si>
  <si>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</si>
  <si>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</si>
  <si>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</si>
  <si>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</si>
  <si>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</si>
  <si>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</si>
  <si>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</si>
  <si>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</si>
  <si>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</si>
  <si>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</si>
  <si>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</si>
  <si>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</si>
  <si>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</si>
  <si>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</si>
  <si>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</si>
  <si>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</si>
  <si>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</si>
  <si>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</si>
  <si>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</si>
  <si>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</si>
  <si>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</si>
  <si>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</si>
  <si>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</si>
  <si>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</si>
  <si>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</si>
  <si>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</si>
  <si>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</si>
  <si>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</si>
  <si>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</si>
  <si>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</si>
  <si>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</si>
  <si>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</si>
  <si>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</si>
  <si>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</si>
  <si>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</si>
  <si>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</si>
  <si>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</si>
  <si>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</si>
  <si>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</si>
  <si>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</si>
  <si>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</si>
  <si>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</si>
  <si>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</si>
  <si>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</si>
  <si>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</si>
  <si>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</si>
  <si>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</si>
  <si>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</si>
  <si>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</si>
  <si>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</si>
  <si>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</si>
  <si>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</si>
  <si>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</si>
  <si>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</si>
  <si>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</si>
  <si>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</si>
  <si>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</si>
  <si>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</si>
  <si>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</si>
  <si>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</si>
  <si>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</si>
  <si>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</si>
  <si>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</si>
  <si>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</si>
  <si>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</si>
  <si>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</si>
  <si>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</si>
  <si>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</si>
  <si>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</si>
  <si>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</si>
  <si>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</si>
  <si>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</si>
  <si>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</si>
  <si>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</si>
  <si>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</si>
  <si>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</si>
  <si>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</si>
  <si>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</si>
  <si>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</si>
  <si>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</si>
  <si>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</si>
  <si>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</si>
  <si>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</si>
  <si>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</si>
  <si>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</si>
  <si>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</si>
  <si>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</si>
  <si>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</si>
  <si>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</si>
  <si>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</si>
  <si>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</si>
  <si>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</si>
  <si>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</si>
  <si>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</si>
  <si>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</si>
  <si>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</si>
  <si>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</si>
  <si>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</si>
  <si>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</si>
  <si>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</si>
  <si>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</si>
  <si>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</si>
  <si>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</si>
  <si>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</si>
  <si>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</si>
  <si>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</si>
  <si>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</si>
  <si>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</si>
  <si>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</si>
  <si>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</si>
  <si>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</si>
  <si>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</si>
  <si>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</si>
  <si>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</si>
  <si>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</si>
  <si>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</si>
  <si>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</si>
  <si>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</si>
  <si>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</si>
  <si>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</si>
  <si>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</si>
  <si>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</si>
  <si>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</si>
  <si>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</si>
  <si>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</si>
  <si>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</si>
  <si>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</si>
  <si>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</si>
  <si>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</si>
  <si>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</si>
  <si>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</si>
  <si>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</si>
  <si>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</si>
  <si>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</si>
  <si>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</si>
  <si>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</si>
  <si>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</si>
  <si>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</si>
  <si>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</si>
  <si>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</si>
  <si>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</si>
  <si>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</si>
  <si>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</si>
  <si>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</si>
  <si>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</si>
  <si>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</si>
  <si>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</si>
  <si>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</si>
  <si>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</si>
  <si>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</si>
  <si>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</si>
  <si>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</si>
  <si>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</si>
  <si>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</si>
  <si>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</si>
  <si>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</si>
  <si>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</si>
  <si>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</si>
  <si>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</si>
  <si>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</si>
  <si>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</si>
  <si>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</si>
  <si>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</si>
  <si>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</si>
  <si>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</si>
  <si>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</si>
  <si>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</si>
  <si>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</si>
  <si>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</si>
  <si>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</si>
  <si>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</si>
  <si>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</si>
  <si>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</si>
  <si>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</si>
  <si>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</si>
  <si>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</si>
  <si>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</si>
  <si>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</si>
  <si>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</si>
  <si>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</si>
  <si>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</si>
  <si>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</si>
  <si>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</si>
  <si>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</si>
  <si>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</si>
  <si>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</si>
  <si>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</si>
  <si>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</si>
  <si>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</si>
  <si>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</si>
  <si>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</si>
  <si>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</si>
  <si>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</si>
  <si>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</si>
  <si>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</si>
  <si>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</si>
  <si>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</si>
  <si>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</si>
  <si>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</si>
  <si>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</si>
  <si>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</si>
  <si>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</si>
  <si>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</si>
  <si>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</si>
  <si>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</si>
  <si>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</si>
  <si>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</si>
  <si>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</si>
  <si>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</si>
  <si>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</si>
  <si>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</si>
  <si>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</si>
  <si>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</si>
  <si>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</si>
  <si>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</si>
  <si>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</si>
  <si>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</si>
  <si>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</si>
  <si>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</si>
  <si>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</si>
  <si>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</si>
  <si>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</si>
  <si>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</si>
  <si>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</si>
  <si>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</si>
  <si>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</si>
  <si>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</si>
  <si>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</si>
  <si>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</si>
  <si>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</si>
  <si>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</si>
  <si>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</si>
  <si>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</si>
  <si>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</si>
  <si>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</si>
  <si>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</si>
  <si>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</si>
  <si>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</si>
  <si>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</si>
  <si>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</si>
  <si>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</si>
  <si>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</si>
  <si>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</si>
  <si>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</si>
  <si>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</si>
  <si>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</si>
  <si>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</si>
  <si>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</si>
  <si>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</si>
  <si>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</si>
  <si>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</si>
  <si>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</si>
  <si>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</si>
  <si>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</si>
  <si>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</si>
  <si>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</si>
  <si>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</si>
  <si>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</si>
  <si>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</si>
  <si>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</si>
  <si>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</si>
  <si>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</si>
  <si>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</si>
  <si>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</si>
  <si>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</si>
  <si>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</si>
  <si>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</si>
  <si>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</si>
  <si>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</si>
  <si>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</si>
  <si>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</si>
  <si>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</si>
  <si>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</si>
  <si>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</si>
  <si>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</si>
  <si>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</si>
  <si>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</si>
  <si>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</si>
  <si>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</si>
  <si>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</si>
  <si>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</si>
  <si>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</si>
  <si>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</si>
  <si>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</si>
  <si>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</si>
  <si>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</si>
  <si>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</si>
  <si>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</si>
  <si>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</si>
  <si>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</si>
  <si>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</si>
  <si>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</si>
  <si>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</si>
  <si>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</si>
  <si>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</si>
  <si>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</si>
  <si>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</si>
  <si>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</si>
  <si>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</si>
  <si>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</si>
  <si>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</si>
  <si>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</si>
  <si>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</si>
  <si>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</si>
  <si>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</si>
  <si>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</si>
  <si>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</si>
  <si>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</si>
  <si>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</si>
  <si>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</si>
  <si>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</si>
  <si>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</si>
  <si>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</si>
  <si>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</si>
  <si>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</si>
  <si>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</si>
  <si>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</si>
  <si>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</si>
  <si>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</si>
  <si>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</si>
  <si>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</si>
  <si>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</si>
  <si>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</si>
  <si>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</si>
  <si>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</si>
  <si>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</si>
  <si>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</si>
  <si>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</si>
  <si>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</si>
  <si>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</si>
  <si>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</si>
  <si>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</si>
  <si>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</si>
  <si>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</si>
  <si>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</si>
  <si>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</si>
  <si>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</si>
  <si>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</si>
  <si>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</si>
  <si>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</si>
  <si>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</si>
  <si>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</si>
  <si>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</si>
  <si>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</si>
  <si>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</si>
  <si>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</si>
  <si>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</si>
  <si>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</si>
  <si>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</si>
  <si>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</si>
  <si>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</si>
  <si>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</si>
  <si>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</si>
  <si>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</si>
  <si>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</si>
  <si>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</si>
  <si>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</si>
  <si>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</si>
  <si>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</si>
  <si>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</si>
  <si>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</si>
  <si>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</si>
  <si>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</si>
  <si>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</si>
  <si>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</si>
  <si>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</si>
  <si>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</si>
  <si>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</si>
  <si>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</si>
  <si>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</si>
  <si>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</si>
  <si>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</si>
  <si>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</si>
  <si>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</si>
  <si>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</si>
  <si>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</si>
  <si>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</si>
  <si>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</si>
  <si>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</si>
  <si>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</si>
  <si>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</si>
  <si>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</si>
  <si>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</si>
  <si>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</si>
  <si>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</si>
  <si>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</si>
  <si>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</si>
  <si>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</si>
  <si>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</si>
  <si>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</si>
  <si>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</si>
  <si>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</si>
  <si>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</si>
  <si>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</si>
  <si>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</si>
  <si>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</si>
  <si>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</si>
  <si>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</si>
  <si>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</si>
  <si>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</si>
  <si>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</si>
  <si>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</si>
  <si>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</si>
  <si>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</si>
  <si>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</si>
  <si>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</si>
  <si>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</si>
  <si>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</si>
  <si>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</si>
  <si>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</si>
  <si>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</si>
  <si>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</si>
  <si>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</si>
  <si>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</si>
  <si>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</si>
  <si>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</si>
  <si>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</si>
  <si>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</si>
  <si>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</si>
  <si>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</si>
  <si>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</si>
  <si>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</si>
  <si>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</si>
  <si>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</si>
  <si>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</si>
  <si>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</si>
  <si>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</si>
  <si>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</si>
  <si>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</si>
  <si>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</si>
  <si>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</si>
  <si>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</si>
  <si>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</si>
  <si>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</si>
  <si>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</si>
  <si>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</si>
  <si>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</si>
  <si>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</si>
  <si>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</si>
  <si>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</si>
  <si>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</si>
  <si>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</si>
  <si>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</si>
  <si>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</si>
  <si>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</si>
  <si>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</si>
  <si>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</si>
  <si>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</si>
  <si>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</si>
  <si>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</si>
  <si>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</si>
  <si>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</si>
  <si>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</si>
  <si>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</si>
  <si>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</si>
  <si>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</si>
  <si>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</si>
  <si>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</si>
  <si>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</si>
  <si>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</si>
  <si>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</si>
  <si>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</si>
  <si>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</si>
  <si>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</si>
  <si>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</si>
  <si>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</si>
  <si>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</si>
  <si>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</si>
  <si>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</si>
  <si>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</si>
  <si>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</si>
  <si>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</si>
  <si>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</si>
  <si>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</si>
  <si>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</si>
  <si>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</si>
  <si>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</si>
  <si>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</si>
  <si>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</si>
  <si>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</si>
  <si>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</si>
  <si>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</si>
  <si>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</si>
  <si>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</si>
  <si>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</si>
  <si>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</si>
  <si>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</si>
  <si>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</si>
  <si>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</si>
  <si>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</si>
  <si>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</si>
  <si>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</si>
  <si>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</si>
  <si>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</si>
  <si>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</si>
  <si>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</si>
  <si>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</si>
  <si>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</si>
  <si>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</si>
  <si>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</si>
  <si>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</si>
  <si>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</si>
  <si>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</si>
  <si>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</si>
  <si>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</si>
  <si>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</si>
  <si>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</si>
  <si>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</si>
  <si>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</si>
  <si>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</si>
  <si>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</si>
  <si>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</si>
  <si>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</si>
  <si>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</si>
  <si>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</si>
  <si>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</si>
  <si>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</si>
  <si>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</si>
  <si>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</si>
  <si>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</si>
  <si>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</si>
  <si>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</si>
  <si>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</si>
  <si>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</si>
  <si>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</si>
  <si>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</si>
  <si>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</si>
  <si>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</si>
  <si>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</si>
  <si>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</si>
  <si>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</si>
  <si>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</si>
  <si>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</si>
  <si>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</si>
  <si>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</si>
  <si>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</si>
  <si>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</si>
  <si>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</si>
  <si>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</si>
  <si>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</si>
  <si>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</si>
  <si>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</si>
  <si>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</si>
  <si>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</si>
  <si>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</si>
  <si>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</si>
  <si>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</si>
  <si>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</si>
  <si>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</si>
  <si>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</si>
  <si>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</si>
  <si>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</si>
  <si>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</si>
  <si>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</si>
  <si>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</si>
  <si>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</si>
  <si>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</si>
  <si>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</si>
  <si>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</si>
  <si>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</si>
  <si>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</si>
  <si>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</si>
  <si>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</si>
  <si>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</si>
  <si>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</si>
  <si>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</si>
  <si>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</si>
  <si>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</si>
  <si>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</si>
  <si>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</si>
  <si>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</si>
  <si>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</si>
  <si>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</si>
  <si>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</si>
  <si>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</si>
  <si>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</si>
  <si>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</si>
  <si>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</si>
  <si>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</si>
  <si>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</si>
  <si>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</si>
  <si>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</si>
  <si>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</si>
  <si>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</si>
  <si>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</si>
  <si>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</si>
  <si>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</si>
  <si>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</si>
  <si>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</si>
  <si>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</si>
  <si>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</si>
  <si>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</si>
  <si>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</si>
  <si>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</si>
  <si>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</si>
  <si>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</si>
  <si>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</si>
  <si>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</si>
  <si>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</si>
  <si>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</si>
  <si>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</si>
  <si>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</si>
  <si>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</si>
  <si>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</si>
  <si>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</si>
  <si>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</si>
  <si>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</si>
  <si>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</si>
  <si>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</si>
  <si>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</si>
  <si>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</si>
  <si>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</si>
  <si>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</si>
  <si>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</si>
  <si>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</si>
  <si>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</si>
  <si>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</si>
  <si>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</si>
  <si>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</si>
  <si>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</si>
  <si>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</si>
  <si>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</si>
  <si>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</si>
  <si>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</si>
  <si>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</si>
  <si>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</si>
  <si>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</si>
  <si>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</si>
  <si>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</si>
  <si>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</si>
  <si>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</si>
  <si>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</si>
  <si>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</si>
  <si>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</si>
  <si>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</si>
  <si>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</si>
  <si>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</si>
  <si>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</si>
  <si>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</si>
  <si>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</si>
  <si>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</si>
  <si>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</si>
  <si>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</si>
  <si>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</si>
  <si>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</si>
  <si>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</si>
  <si>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</si>
  <si>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</si>
  <si>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</si>
  <si>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</si>
  <si>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</si>
  <si>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</si>
  <si>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</si>
  <si>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</si>
  <si>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</si>
  <si>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</si>
  <si>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</si>
  <si>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</si>
  <si>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</si>
  <si>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</si>
  <si>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</si>
  <si>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</si>
  <si>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</si>
  <si>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</si>
  <si>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</si>
  <si>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</si>
  <si>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</si>
  <si>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</si>
  <si>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</si>
  <si>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</si>
  <si>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</si>
  <si>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</si>
  <si>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</si>
  <si>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</si>
  <si>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</si>
  <si>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</si>
  <si>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</si>
  <si>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</si>
  <si>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</si>
  <si>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</si>
  <si>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</si>
  <si>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</si>
  <si>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</si>
  <si>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</si>
  <si>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</si>
  <si>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</si>
  <si>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</si>
  <si>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</si>
  <si>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</si>
  <si>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</si>
  <si>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</si>
  <si>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</si>
  <si>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</si>
  <si>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</si>
  <si>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</si>
  <si>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</si>
  <si>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</si>
  <si>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</si>
  <si>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</si>
  <si>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</si>
  <si>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</si>
  <si>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</si>
  <si>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</si>
  <si>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</si>
  <si>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</si>
  <si>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</si>
  <si>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</si>
  <si>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</si>
  <si>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</si>
  <si>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</si>
  <si>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</si>
  <si>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</si>
  <si>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</si>
  <si>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</si>
  <si>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</si>
  <si>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</si>
  <si>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</si>
  <si>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</si>
  <si>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</si>
  <si>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</si>
  <si>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</si>
  <si>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</si>
  <si>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</si>
  <si>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</si>
  <si>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</si>
  <si>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</si>
  <si>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</si>
  <si>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</si>
  <si>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</si>
  <si>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</si>
  <si>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</si>
  <si>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</si>
  <si>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</si>
  <si>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</si>
  <si>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</si>
  <si>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</si>
  <si>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</si>
  <si>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</si>
  <si>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</si>
  <si>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</si>
  <si>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</si>
  <si>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</si>
  <si>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</si>
  <si>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</si>
  <si>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</si>
  <si>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</si>
  <si>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</si>
  <si>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</si>
  <si>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</si>
  <si>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</si>
  <si>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</si>
  <si>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</si>
  <si>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</si>
  <si>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</si>
  <si>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</si>
  <si>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</si>
  <si>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</si>
  <si>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</si>
  <si>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</si>
  <si>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</si>
  <si>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</si>
  <si>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</si>
  <si>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</si>
  <si>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</si>
  <si>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</si>
  <si>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</si>
  <si>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</si>
  <si>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</si>
  <si>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</si>
  <si>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</si>
  <si>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</si>
  <si>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</si>
  <si>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</si>
  <si>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</si>
  <si>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</si>
  <si>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</si>
  <si>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</si>
  <si>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</si>
  <si>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</si>
  <si>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</si>
  <si>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</si>
  <si>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</si>
  <si>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</si>
  <si>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</si>
  <si>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</si>
  <si>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</si>
  <si>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</si>
  <si>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</si>
  <si>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</si>
  <si>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</si>
  <si>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</si>
  <si>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</si>
  <si>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</si>
  <si>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</si>
  <si>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</si>
  <si>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</si>
  <si>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</si>
  <si>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</si>
  <si>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</si>
  <si>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</si>
  <si>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</si>
  <si>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</si>
  <si>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</si>
  <si>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</si>
  <si>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</si>
  <si>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</si>
  <si>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</si>
  <si>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</si>
  <si>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</si>
  <si>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</si>
  <si>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</si>
  <si>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</si>
  <si>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</si>
  <si>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</si>
  <si>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</si>
  <si>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</si>
  <si>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</si>
  <si>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</si>
  <si>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</si>
  <si>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</si>
  <si>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</si>
  <si>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</si>
  <si>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</si>
  <si>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</si>
  <si>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</si>
  <si>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</si>
  <si>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</si>
  <si>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</si>
  <si>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</si>
  <si>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</si>
  <si>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</si>
  <si>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</si>
  <si>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</si>
  <si>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</si>
  <si>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</si>
  <si>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</si>
  <si>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</si>
  <si>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</si>
  <si>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</si>
  <si>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</si>
  <si>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</si>
  <si>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</si>
  <si>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</si>
  <si>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</si>
  <si>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</si>
  <si>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</si>
  <si>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</si>
  <si>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</si>
  <si>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</si>
  <si>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</si>
  <si>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</si>
  <si>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</si>
  <si>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</si>
  <si>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</si>
  <si>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</si>
  <si>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</si>
  <si>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</si>
  <si>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</si>
  <si>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</si>
  <si>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</si>
  <si>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</si>
  <si>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</si>
  <si>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</si>
  <si>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</si>
  <si>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</si>
  <si>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</si>
  <si>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</si>
  <si>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</si>
  <si>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</si>
  <si>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</si>
  <si>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</si>
  <si>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</si>
  <si>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</si>
  <si>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</si>
  <si>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</si>
  <si>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</si>
  <si>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</si>
  <si>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</si>
  <si>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</si>
  <si>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</si>
  <si>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</si>
  <si>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</si>
  <si>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</si>
  <si>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</si>
  <si>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</si>
  <si>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</si>
  <si>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</si>
  <si>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</si>
  <si>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</si>
  <si>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</si>
  <si>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</si>
  <si>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</si>
  <si>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</si>
  <si>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</si>
  <si>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</si>
  <si>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</si>
  <si>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</si>
  <si>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</si>
  <si>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</si>
  <si>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</si>
  <si>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</si>
  <si>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</si>
  <si>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</si>
  <si>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</si>
  <si>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</si>
  <si>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</si>
  <si>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</si>
  <si>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</si>
  <si>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</si>
  <si>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</si>
  <si>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</si>
  <si>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</si>
  <si>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</si>
  <si>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</si>
  <si>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</si>
  <si>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</si>
  <si>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</si>
  <si>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</si>
  <si>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</si>
  <si>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</si>
  <si>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</si>
  <si>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</si>
  <si>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</si>
  <si>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</si>
  <si>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</si>
  <si>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</si>
  <si>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</si>
  <si>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</si>
  <si>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</si>
  <si>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</si>
  <si>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</si>
  <si>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</si>
  <si>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</si>
  <si>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</si>
  <si>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</si>
  <si>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</si>
  <si>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</si>
  <si>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</si>
  <si>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</si>
  <si>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</si>
  <si>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</si>
  <si>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</si>
  <si>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</si>
  <si>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</si>
  <si>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</si>
  <si>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</si>
  <si>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</si>
  <si>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</si>
  <si>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</si>
  <si>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</si>
  <si>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</si>
  <si>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</si>
  <si>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</si>
  <si>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</si>
  <si>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</si>
  <si>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</si>
  <si>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</si>
  <si>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</si>
  <si>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</si>
  <si>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</si>
  <si>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</si>
  <si>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</si>
  <si>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</si>
  <si>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</si>
  <si>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</si>
  <si>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</si>
  <si>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</si>
  <si>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</si>
  <si>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</si>
  <si>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</si>
  <si>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</si>
  <si>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</si>
  <si>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</si>
  <si>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</si>
  <si>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</si>
  <si>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</si>
  <si>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</si>
  <si>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</si>
  <si>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</si>
  <si>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</si>
  <si>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</si>
  <si>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</si>
  <si>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</si>
  <si>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</si>
  <si>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</si>
  <si>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</si>
  <si>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</si>
  <si>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</si>
  <si>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</si>
  <si>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</si>
  <si>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</si>
  <si>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</si>
  <si>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</si>
  <si>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</si>
  <si>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</si>
  <si>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</si>
  <si>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</si>
  <si>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</si>
  <si>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</si>
  <si>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</si>
  <si>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</si>
  <si>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</si>
  <si>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</si>
  <si>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</si>
  <si>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</si>
  <si>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</si>
  <si>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</si>
  <si>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</si>
  <si>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</si>
  <si>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</si>
  <si>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</si>
  <si>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</si>
  <si>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</si>
  <si>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</si>
  <si>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</si>
  <si>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</si>
  <si>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</si>
  <si>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</si>
  <si>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</si>
  <si>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</si>
  <si>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</si>
  <si>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</si>
  <si>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</si>
  <si>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</si>
  <si>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</si>
  <si>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</si>
  <si>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</si>
  <si>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</si>
  <si>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</si>
  <si>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</si>
  <si>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</si>
  <si>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</si>
  <si>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</si>
  <si>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</si>
  <si>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</si>
  <si>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</si>
  <si>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</si>
  <si>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</si>
  <si>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</si>
  <si>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</si>
  <si>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</si>
  <si>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</si>
  <si>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</si>
  <si>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</si>
  <si>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</si>
  <si>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</si>
  <si>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</si>
  <si>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</si>
  <si>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</si>
  <si>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</si>
  <si>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</si>
  <si>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</si>
  <si>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</si>
  <si>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</si>
  <si>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</si>
  <si>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</si>
  <si>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</si>
  <si>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</si>
  <si>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</si>
  <si>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</si>
  <si>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</si>
  <si>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</si>
  <si>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</si>
  <si>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</si>
  <si>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</si>
  <si>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</si>
  <si>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</si>
  <si>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</si>
  <si>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</si>
  <si>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</si>
  <si>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</si>
  <si>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</si>
  <si>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</si>
  <si>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</si>
  <si>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</si>
  <si>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</si>
  <si>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</si>
  <si>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</si>
  <si>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</si>
  <si>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</si>
  <si>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</si>
  <si>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</si>
  <si>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</si>
  <si>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</si>
  <si>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</si>
  <si>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</si>
  <si>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</si>
  <si>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</si>
  <si>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</si>
  <si>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</si>
  <si>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</si>
  <si>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</si>
  <si>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</si>
  <si>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</si>
  <si>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</si>
  <si>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</si>
  <si>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</si>
  <si>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</si>
  <si>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</si>
  <si>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</si>
  <si>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</si>
  <si>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</si>
  <si>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</si>
  <si>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</si>
  <si>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</si>
  <si>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</si>
  <si>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</si>
  <si>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</si>
  <si>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</si>
  <si>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</si>
  <si>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</si>
  <si>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</si>
  <si>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</si>
  <si>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</si>
  <si>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</si>
  <si>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</si>
  <si>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</si>
  <si>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</si>
  <si>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</si>
  <si>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</si>
  <si>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</si>
  <si>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</si>
  <si>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</si>
  <si>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</si>
  <si>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</si>
  <si>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</si>
  <si>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</si>
  <si>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</si>
  <si>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</si>
  <si>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</si>
  <si>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</si>
  <si>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</si>
  <si>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</si>
  <si>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</si>
  <si>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</si>
  <si>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</si>
  <si>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</si>
  <si>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</si>
  <si>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</si>
  <si>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</si>
  <si>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</si>
  <si>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</si>
  <si>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</si>
  <si>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</si>
  <si>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</si>
  <si>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</si>
  <si>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</si>
  <si>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</si>
  <si>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</si>
  <si>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</si>
  <si>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</si>
  <si>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</si>
  <si>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</si>
  <si>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</si>
  <si>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</si>
  <si>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</si>
  <si>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</si>
  <si>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</si>
  <si>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</si>
  <si>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</si>
  <si>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</si>
  <si>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</si>
  <si>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</si>
  <si>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</si>
  <si>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</si>
  <si>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</si>
  <si>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</si>
  <si>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</si>
  <si>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</si>
  <si>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</si>
  <si>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</si>
  <si>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</si>
  <si>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</si>
  <si>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</si>
  <si>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</si>
  <si>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</si>
  <si>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</si>
  <si>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</si>
  <si>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</si>
  <si>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</si>
  <si>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</si>
  <si>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</si>
  <si>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</si>
  <si>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</si>
  <si>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</si>
  <si>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</si>
  <si>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</si>
  <si>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</si>
  <si>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</si>
  <si>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</si>
  <si>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</si>
  <si>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</si>
  <si>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</si>
  <si>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</si>
  <si>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</si>
  <si>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</si>
  <si>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</si>
  <si>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</si>
  <si>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</si>
  <si>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</si>
  <si>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</si>
  <si>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</si>
  <si>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</si>
  <si>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</si>
  <si>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</si>
  <si>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</si>
  <si>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</si>
  <si>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</si>
  <si>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</si>
  <si>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</si>
  <si>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</si>
  <si>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</si>
  <si>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</si>
  <si>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</si>
  <si>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</si>
  <si>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</si>
  <si>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</si>
  <si>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</si>
  <si>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</si>
  <si>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</si>
  <si>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</si>
  <si>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</si>
  <si>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</si>
  <si>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</si>
  <si>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</si>
  <si>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</si>
  <si>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</si>
  <si>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</si>
  <si>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</si>
  <si>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</si>
  <si>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</si>
  <si>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</si>
  <si>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</si>
  <si>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</si>
  <si>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</si>
  <si>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</si>
  <si>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</si>
  <si>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</si>
  <si>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</si>
  <si>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</si>
  <si>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</si>
  <si>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</si>
  <si>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</si>
  <si>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</si>
  <si>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</si>
  <si>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</si>
  <si>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</si>
  <si>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</si>
  <si>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</si>
  <si>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</si>
  <si>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</si>
  <si>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</si>
  <si>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</si>
  <si>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</si>
  <si>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</si>
  <si>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</si>
  <si>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</si>
  <si>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</si>
  <si>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</si>
  <si>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</si>
  <si>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</si>
  <si>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</si>
  <si>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</si>
  <si>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</si>
  <si>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</si>
  <si>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</si>
  <si>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</si>
  <si>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</si>
  <si>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</si>
  <si>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</si>
  <si>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</si>
  <si>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</si>
  <si>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</si>
  <si>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</si>
  <si>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</si>
  <si>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</si>
  <si>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</si>
  <si>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</si>
  <si>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</si>
  <si>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</si>
  <si>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</si>
  <si>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</si>
  <si>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</si>
  <si>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</si>
  <si>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</si>
  <si>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</si>
  <si>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</si>
  <si>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</si>
  <si>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</si>
  <si>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</si>
  <si>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</si>
  <si>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</si>
  <si>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</si>
  <si>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</si>
  <si>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</si>
  <si>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</si>
  <si>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</si>
  <si>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</si>
  <si>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</si>
  <si>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</si>
  <si>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</si>
  <si>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</si>
  <si>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</si>
  <si>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</si>
  <si>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</si>
  <si>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</si>
  <si>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</si>
  <si>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</si>
  <si>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</si>
  <si>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</si>
  <si>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</si>
  <si>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</si>
  <si>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</si>
  <si>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</si>
  <si>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</si>
  <si>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</si>
  <si>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</si>
  <si>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</si>
  <si>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</si>
  <si>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</si>
  <si>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</si>
  <si>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</si>
  <si>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</si>
  <si>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</si>
  <si>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</si>
  <si>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</si>
  <si>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</si>
  <si>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</si>
  <si>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</si>
  <si>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</si>
  <si>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</si>
  <si>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</si>
  <si>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</si>
  <si>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</si>
  <si>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</si>
  <si>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</si>
  <si>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</si>
  <si>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</si>
  <si>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</si>
  <si>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</si>
  <si>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</si>
  <si>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</si>
  <si>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</si>
  <si>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</si>
  <si>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</si>
  <si>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</si>
  <si>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</si>
  <si>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</si>
  <si>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</si>
  <si>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</si>
  <si>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</si>
  <si>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</si>
  <si>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</si>
  <si>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</si>
  <si>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</si>
  <si>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</si>
  <si>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</si>
  <si>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</si>
  <si>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</si>
  <si>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</si>
  <si>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</si>
  <si>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</si>
  <si>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</si>
  <si>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</si>
  <si>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</si>
  <si>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</si>
  <si>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</si>
  <si>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</si>
  <si>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</si>
  <si>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</si>
  <si>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</si>
  <si>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</si>
  <si>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</si>
  <si>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</si>
  <si>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</si>
  <si>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</si>
  <si>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</si>
  <si>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</si>
  <si>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</si>
  <si>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</si>
  <si>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</si>
  <si>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</si>
  <si>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</si>
  <si>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</si>
  <si>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</si>
  <si>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</si>
  <si>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</si>
  <si>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</si>
  <si>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</si>
  <si>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</si>
  <si>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</si>
  <si>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</si>
  <si>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</si>
  <si>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</si>
  <si>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</si>
  <si>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</si>
  <si>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</si>
  <si>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</si>
  <si>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</si>
  <si>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</si>
  <si>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</si>
  <si>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</si>
  <si>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</si>
  <si>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</si>
  <si>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</si>
  <si>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</si>
  <si>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</si>
  <si>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</si>
  <si>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</si>
  <si>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</si>
  <si>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</si>
  <si>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</si>
  <si>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</si>
  <si>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</si>
  <si>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</si>
  <si>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</si>
  <si>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</si>
  <si>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</si>
  <si>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</si>
  <si>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</si>
  <si>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</si>
  <si>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</si>
  <si>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</si>
  <si>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</si>
  <si>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</si>
  <si>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</si>
  <si>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</si>
  <si>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</si>
  <si>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</si>
  <si>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</si>
  <si>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</si>
  <si>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</si>
  <si>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</si>
  <si>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</si>
  <si>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</si>
  <si>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</si>
  <si>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</si>
  <si>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</si>
  <si>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</si>
  <si>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</si>
  <si>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</si>
  <si>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</si>
  <si>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</si>
  <si>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</si>
  <si>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</si>
  <si>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</si>
  <si>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</si>
  <si>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</si>
  <si>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</si>
  <si>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</si>
  <si>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</si>
  <si>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</si>
  <si>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</si>
  <si>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</si>
  <si>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</si>
  <si>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</si>
  <si>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</si>
  <si>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</si>
  <si>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</si>
  <si>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</si>
  <si>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</si>
  <si>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</si>
  <si>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</si>
  <si>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</si>
  <si>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</si>
  <si>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</si>
  <si>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</si>
  <si>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</si>
  <si>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</si>
  <si>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</si>
  <si>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</si>
  <si>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</si>
  <si>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</si>
  <si>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</si>
  <si>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</si>
  <si>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</si>
  <si>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</si>
  <si>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</si>
  <si>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</si>
  <si>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</si>
  <si>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</si>
  <si>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</si>
  <si>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</si>
  <si>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</si>
  <si>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</si>
  <si>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</si>
  <si>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</si>
  <si>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</si>
  <si>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</si>
  <si>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</si>
  <si>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</si>
  <si>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</si>
  <si>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</si>
  <si>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</si>
  <si>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</si>
  <si>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</si>
  <si>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</si>
  <si>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</si>
  <si>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</si>
  <si>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</si>
  <si>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</si>
  <si>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</si>
  <si>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</si>
  <si>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</si>
  <si>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</si>
  <si>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</si>
  <si>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</si>
  <si>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</si>
  <si>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</si>
  <si>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</si>
  <si>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</si>
  <si>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</si>
  <si>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</si>
  <si>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</si>
  <si>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</si>
  <si>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</si>
  <si>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</si>
  <si>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</si>
  <si>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</si>
  <si>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</si>
  <si>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</si>
  <si>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</si>
  <si>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</si>
  <si>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</si>
  <si>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</si>
  <si>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</si>
  <si>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</si>
  <si>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</si>
  <si>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</si>
  <si>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</si>
  <si>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</si>
  <si>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</si>
  <si>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</si>
  <si>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</si>
  <si>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</si>
  <si>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</si>
  <si>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</si>
  <si>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</si>
  <si>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</si>
  <si>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</si>
  <si>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</si>
  <si>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</si>
  <si>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</si>
  <si>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</si>
  <si>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</si>
  <si>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</si>
  <si>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</si>
  <si>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</si>
  <si>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</si>
  <si>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</si>
  <si>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</si>
  <si>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</si>
  <si>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</si>
  <si>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</si>
  <si>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</si>
  <si>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</si>
  <si>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</si>
  <si>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</si>
  <si>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</si>
  <si>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</si>
  <si>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</si>
  <si>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</si>
  <si>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</si>
  <si>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</si>
  <si>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</si>
  <si>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</si>
  <si>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</si>
  <si>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</si>
  <si>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</si>
  <si>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</si>
  <si>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</si>
  <si>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</si>
  <si>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</si>
  <si>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</si>
  <si>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</si>
  <si>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</si>
  <si>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</si>
  <si>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</si>
  <si>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</si>
  <si>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</si>
  <si>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</si>
  <si>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</si>
  <si>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</si>
  <si>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</si>
  <si>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</si>
  <si>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</si>
  <si>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</si>
  <si>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</si>
  <si>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</si>
  <si>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</si>
  <si>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</si>
  <si>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</si>
  <si>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</si>
  <si>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</si>
  <si>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</si>
  <si>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</si>
  <si>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</si>
  <si>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</si>
  <si>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</si>
  <si>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</si>
  <si>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</si>
  <si>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</si>
  <si>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</si>
  <si>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</si>
  <si>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</si>
  <si>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</si>
  <si>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</si>
  <si>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</si>
  <si>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</si>
  <si>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</si>
  <si>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</si>
  <si>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</si>
  <si>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</si>
  <si>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</si>
  <si>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</si>
  <si>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</si>
  <si>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</si>
  <si>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</si>
  <si>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</si>
  <si>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</si>
  <si>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</si>
  <si>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</si>
  <si>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</si>
  <si>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</si>
  <si>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</si>
  <si>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</si>
  <si>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</si>
  <si>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</si>
  <si>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</si>
  <si>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</si>
  <si>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</si>
  <si>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</si>
  <si>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</si>
  <si>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</si>
  <si>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</si>
  <si>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</si>
  <si>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</si>
  <si>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</si>
  <si>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</si>
  <si>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</si>
  <si>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</si>
  <si>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</si>
  <si>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</si>
  <si>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</si>
  <si>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</si>
  <si>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</si>
  <si>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</si>
  <si>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</si>
  <si>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</si>
  <si>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</si>
  <si>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</si>
  <si>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</si>
  <si>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</si>
  <si>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</si>
  <si>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</si>
  <si>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</si>
  <si>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</si>
  <si>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</si>
  <si>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</si>
  <si>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</si>
  <si>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</si>
  <si>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</si>
  <si>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</si>
  <si>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</si>
  <si>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</si>
  <si>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</si>
  <si>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</si>
  <si>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</si>
  <si>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</si>
  <si>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</si>
  <si>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</si>
  <si>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</si>
  <si>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</si>
  <si>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</si>
  <si>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</si>
  <si>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</si>
  <si>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</si>
  <si>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</si>
  <si>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</si>
  <si>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</si>
  <si>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</si>
  <si>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</si>
  <si>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</si>
  <si>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</si>
  <si>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</si>
  <si>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</si>
  <si>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</si>
  <si>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</si>
  <si>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</si>
  <si>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</si>
  <si>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</si>
  <si>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</si>
  <si>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</si>
  <si>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</si>
  <si>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</si>
  <si>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</si>
  <si>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</si>
  <si>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</si>
  <si>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</si>
  <si>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</si>
  <si>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</si>
  <si>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</si>
  <si>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</si>
  <si>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</si>
  <si>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</si>
  <si>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</si>
  <si>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</si>
  <si>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</si>
  <si>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</si>
  <si>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</si>
  <si>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</si>
  <si>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</si>
  <si>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</si>
  <si>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</si>
  <si>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</si>
  <si>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</si>
  <si>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</si>
  <si>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</si>
  <si>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</si>
  <si>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</si>
  <si>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</si>
  <si>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</si>
  <si>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</si>
  <si>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</si>
  <si>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</si>
  <si>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</si>
  <si>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</si>
  <si>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</si>
  <si>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</si>
  <si>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</si>
  <si>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</si>
  <si>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</si>
  <si>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</si>
  <si>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</si>
  <si>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</si>
  <si>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</si>
  <si>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</si>
  <si>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</si>
  <si>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</si>
  <si>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</si>
  <si>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</si>
  <si>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</si>
  <si>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</si>
  <si>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</si>
  <si>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</si>
  <si>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</si>
  <si>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</si>
  <si>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</si>
  <si>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</si>
  <si>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</si>
  <si>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</si>
  <si>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</si>
  <si>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</si>
  <si>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</si>
  <si>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</si>
  <si>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</si>
  <si>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</si>
  <si>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</si>
  <si>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</si>
  <si>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</si>
  <si>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</si>
  <si>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</si>
  <si>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</si>
  <si>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</si>
  <si>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</si>
  <si>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</si>
  <si>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</si>
  <si>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</si>
  <si>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</si>
  <si>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</si>
  <si>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</si>
  <si>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</si>
  <si>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</si>
  <si>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</si>
  <si>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</si>
  <si>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</si>
  <si>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</si>
  <si>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</si>
  <si>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</si>
  <si>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</si>
  <si>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</si>
  <si>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</si>
  <si>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</si>
  <si>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</si>
  <si>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</si>
  <si>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</si>
  <si>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</si>
  <si>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</si>
  <si>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</si>
  <si>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</si>
  <si>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</si>
  <si>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</si>
  <si>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</si>
  <si>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</si>
  <si>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</si>
  <si>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</si>
  <si>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</si>
  <si>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</si>
  <si>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</si>
  <si>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</si>
  <si>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</si>
  <si>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</si>
  <si>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</si>
  <si>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</si>
  <si>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</si>
  <si>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</si>
  <si>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</si>
  <si>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</si>
  <si>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</si>
  <si>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</si>
  <si>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</si>
  <si>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</si>
  <si>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</si>
  <si>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</si>
  <si>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</si>
  <si>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</si>
  <si>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</si>
  <si>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</si>
  <si>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</si>
  <si>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</si>
  <si>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</si>
  <si>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</si>
  <si>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</si>
  <si>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</si>
  <si>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</si>
  <si>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</si>
  <si>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</si>
  <si>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</si>
  <si>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</si>
  <si>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</si>
  <si>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</si>
  <si>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</si>
  <si>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</si>
  <si>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</si>
  <si>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</si>
  <si>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</si>
  <si>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</si>
  <si>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</si>
  <si>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</si>
  <si>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</si>
  <si>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</si>
  <si>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</si>
  <si>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</si>
  <si>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</si>
  <si>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</si>
  <si>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</si>
  <si>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</si>
  <si>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</si>
  <si>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</si>
  <si>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</si>
  <si>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</si>
  <si>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</si>
  <si>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</si>
  <si>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</si>
  <si>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</si>
  <si>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</si>
  <si>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</si>
  <si>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</si>
  <si>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</si>
  <si>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</si>
  <si>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</si>
  <si>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</si>
  <si>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</si>
  <si>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</si>
  <si>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</si>
  <si>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</si>
  <si>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</si>
  <si>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</si>
  <si>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</si>
  <si>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</si>
  <si>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</si>
  <si>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</si>
  <si>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</si>
  <si>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</si>
  <si>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</si>
  <si>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</si>
  <si>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</si>
  <si>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</si>
  <si>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</si>
  <si>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</si>
  <si>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</si>
  <si>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</si>
  <si>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</si>
  <si>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</si>
  <si>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</si>
  <si>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</si>
  <si>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</si>
  <si>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</si>
  <si>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</si>
  <si>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</si>
  <si>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</si>
  <si>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</si>
  <si>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</si>
  <si>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</si>
  <si>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</si>
  <si>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</si>
  <si>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</si>
  <si>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</si>
  <si>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</si>
  <si>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</si>
  <si>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</si>
  <si>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</si>
  <si>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</si>
  <si>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</si>
  <si>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</si>
  <si>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</si>
  <si>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</si>
  <si>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</si>
  <si>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</si>
  <si>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</si>
  <si>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</si>
  <si>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</si>
  <si>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</si>
  <si>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</si>
  <si>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</si>
  <si>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</si>
  <si>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</si>
  <si>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</si>
  <si>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</si>
  <si>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</si>
  <si>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</si>
  <si>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</si>
  <si>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</si>
  <si>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</si>
  <si>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</si>
  <si>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</si>
  <si>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</si>
  <si>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</si>
  <si>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</si>
  <si>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</si>
  <si>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</si>
  <si>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</si>
  <si>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</si>
  <si>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</si>
  <si>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</si>
  <si>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</si>
  <si>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</si>
  <si>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</si>
  <si>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</si>
  <si>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</si>
  <si>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</si>
  <si>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</si>
  <si>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</si>
  <si>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</si>
  <si>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</si>
  <si>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</si>
  <si>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</si>
  <si>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</si>
  <si>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</si>
  <si>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</si>
  <si>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</si>
  <si>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</si>
  <si>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</si>
  <si>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</si>
  <si>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</si>
  <si>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</si>
  <si>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</si>
  <si>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</si>
  <si>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</si>
  <si>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</si>
  <si>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</si>
  <si>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</si>
  <si>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</si>
  <si>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</si>
  <si>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</si>
  <si>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</si>
  <si>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</si>
  <si>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</si>
  <si>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</si>
  <si>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</si>
  <si>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</si>
  <si>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</si>
  <si>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</si>
  <si>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</si>
  <si>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</si>
  <si>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</si>
  <si>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</si>
  <si>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</si>
  <si>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</si>
  <si>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</si>
  <si>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</si>
  <si>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</si>
  <si>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</si>
  <si>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</si>
  <si>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</si>
  <si>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</si>
  <si>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</si>
  <si>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</si>
  <si>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</si>
  <si>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</si>
  <si>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</si>
  <si>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</si>
  <si>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</si>
  <si>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</si>
  <si>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</si>
  <si>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</si>
  <si>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</si>
  <si>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</si>
  <si>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</si>
  <si>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</si>
  <si>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</si>
  <si>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</si>
  <si>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</si>
  <si>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</si>
  <si>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</si>
  <si>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</si>
  <si>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</si>
  <si>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</si>
  <si>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</si>
  <si>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</si>
  <si>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</si>
  <si>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</si>
  <si>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</si>
  <si>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</si>
  <si>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</si>
  <si>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</si>
  <si>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</si>
  <si>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</si>
  <si>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</si>
  <si>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</si>
  <si>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</si>
  <si>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</si>
  <si>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</si>
  <si>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</si>
  <si>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</si>
  <si>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</si>
  <si>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</si>
  <si>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</si>
  <si>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</si>
  <si>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</si>
  <si>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</si>
  <si>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</si>
  <si>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</si>
  <si>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</si>
  <si>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</si>
  <si>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</si>
  <si>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</si>
  <si>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</si>
  <si>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</si>
  <si>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</si>
  <si>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</si>
  <si>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</si>
  <si>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</si>
  <si>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</si>
  <si>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</si>
  <si>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</si>
  <si>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</si>
  <si>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</si>
  <si>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</si>
  <si>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</si>
  <si>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</si>
  <si>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</si>
  <si>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</si>
  <si>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</si>
  <si>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</si>
  <si>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</si>
  <si>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</si>
  <si>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</si>
  <si>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</si>
  <si>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</si>
  <si>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</si>
  <si>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</si>
  <si>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</si>
  <si>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</si>
  <si>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</si>
  <si>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</si>
  <si>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</si>
  <si>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</si>
  <si>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</si>
  <si>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</si>
  <si>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</si>
  <si>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</si>
  <si>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</si>
  <si>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</si>
  <si>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</si>
  <si>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</si>
  <si>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</si>
  <si>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</si>
  <si>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</si>
  <si>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</si>
  <si>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</si>
  <si>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</si>
  <si>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</si>
  <si>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</si>
  <si>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</si>
  <si>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</si>
  <si>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</si>
  <si>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</si>
  <si>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</si>
  <si>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</si>
  <si>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</si>
  <si>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</si>
  <si>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</si>
  <si>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</si>
  <si>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</si>
  <si>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</si>
  <si>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</si>
  <si>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</si>
  <si>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</si>
  <si>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</si>
  <si>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</si>
  <si>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</si>
  <si>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</si>
  <si>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</si>
  <si>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</si>
  <si>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</si>
  <si>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</si>
  <si>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</si>
  <si>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</si>
  <si>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</si>
  <si>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</si>
  <si>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</si>
  <si>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</si>
  <si>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</si>
  <si>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</si>
  <si>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</si>
  <si>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</si>
  <si>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</si>
  <si>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</si>
  <si>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</si>
  <si>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</si>
  <si>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</si>
  <si>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</si>
  <si>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</si>
  <si>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</si>
  <si>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</si>
  <si>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</si>
  <si>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</si>
  <si>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</si>
  <si>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</si>
  <si>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</si>
  <si>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</si>
  <si>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</si>
  <si>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</si>
  <si>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</si>
  <si>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</si>
  <si>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</si>
  <si>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</si>
  <si>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</si>
  <si>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</si>
  <si>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</si>
  <si>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</si>
  <si>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</si>
  <si>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</si>
  <si>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</si>
  <si>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</si>
  <si>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</si>
  <si>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</si>
  <si>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</si>
  <si>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</si>
  <si>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</si>
  <si>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</si>
  <si>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</si>
  <si>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</si>
  <si>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</si>
  <si>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</si>
  <si>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</si>
  <si>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</si>
  <si>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</si>
  <si>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</si>
  <si>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</si>
  <si>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</si>
  <si>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</si>
  <si>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</si>
  <si>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</si>
  <si>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</si>
  <si>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</si>
  <si>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</si>
  <si>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</si>
  <si>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</si>
  <si>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</si>
  <si>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</si>
  <si>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</si>
  <si>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</si>
  <si>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</si>
  <si>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</si>
  <si>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</si>
  <si>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</si>
  <si>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</si>
  <si>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</si>
  <si>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</si>
  <si>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</si>
  <si>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</si>
  <si>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</si>
  <si>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</si>
  <si>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</si>
  <si>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</si>
  <si>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</si>
  <si>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</si>
  <si>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</si>
  <si>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</si>
  <si>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</si>
  <si>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</si>
  <si>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</si>
  <si>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</si>
  <si>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</si>
  <si>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</si>
  <si>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</si>
  <si>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</si>
  <si>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</si>
  <si>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</si>
  <si>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</si>
  <si>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</si>
  <si>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</si>
  <si>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</si>
  <si>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</si>
  <si>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</si>
  <si>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</si>
  <si>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</si>
  <si>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</si>
  <si>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</si>
  <si>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</si>
  <si>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</si>
  <si>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</si>
  <si>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</si>
  <si>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</si>
  <si>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</si>
  <si>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</si>
  <si>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</si>
  <si>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</si>
  <si>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</si>
  <si>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</si>
  <si>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</si>
  <si>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</si>
  <si>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</si>
  <si>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</si>
  <si>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</si>
  <si>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</si>
  <si>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</si>
  <si>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</si>
  <si>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</si>
  <si>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</si>
  <si>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</si>
  <si>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</si>
  <si>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</si>
  <si>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</si>
  <si>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</si>
  <si>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</si>
  <si>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</si>
  <si>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</si>
  <si>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</si>
  <si>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</si>
  <si>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</si>
  <si>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</si>
  <si>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</si>
  <si>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</si>
  <si>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</si>
  <si>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</si>
  <si>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</si>
  <si>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</si>
  <si>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</si>
  <si>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</si>
  <si>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</si>
  <si>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</si>
  <si>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</si>
  <si>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</si>
  <si>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</si>
  <si>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</si>
  <si>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</si>
  <si>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</si>
  <si>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</si>
  <si>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</si>
  <si>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</si>
  <si>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</si>
  <si>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</si>
  <si>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</si>
  <si>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</si>
  <si>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</si>
  <si>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</si>
  <si>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</si>
  <si>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</si>
  <si>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</si>
  <si>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</si>
  <si>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</si>
  <si>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</si>
  <si>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</si>
  <si>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</si>
  <si>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</si>
  <si>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</si>
  <si>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</si>
  <si>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</si>
  <si>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</si>
  <si>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</si>
  <si>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</si>
  <si>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</si>
  <si>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</si>
  <si>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</si>
  <si>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</si>
  <si>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</si>
  <si>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</si>
  <si>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</si>
  <si>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</si>
  <si>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</si>
  <si>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</si>
  <si>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</si>
  <si>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</si>
  <si>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</si>
  <si>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</si>
  <si>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</si>
  <si>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</si>
  <si>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</si>
  <si>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</si>
  <si>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</si>
  <si>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</si>
  <si>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</si>
  <si>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</si>
  <si>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</si>
  <si>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</si>
  <si>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</si>
  <si>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</si>
  <si>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</si>
  <si>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</si>
  <si>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</si>
  <si>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</si>
  <si>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</si>
  <si>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</si>
  <si>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</si>
  <si>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</si>
  <si>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</si>
  <si>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</si>
  <si>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</si>
  <si>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</si>
  <si>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</si>
  <si>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</si>
  <si>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</si>
  <si>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</si>
  <si>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</si>
  <si>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</si>
  <si>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</si>
  <si>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</si>
  <si>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</si>
  <si>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</si>
  <si>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</si>
  <si>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</si>
  <si>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</si>
  <si>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</si>
  <si>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</si>
  <si>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</si>
  <si>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</si>
  <si>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</si>
  <si>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</si>
  <si>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</si>
  <si>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</si>
  <si>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</si>
  <si>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</si>
  <si>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</si>
  <si>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</si>
  <si>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</si>
  <si>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</si>
  <si>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</si>
  <si>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</si>
  <si>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</si>
  <si>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</si>
  <si>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</si>
  <si>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</si>
  <si>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</si>
  <si>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</si>
  <si>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</si>
  <si>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</si>
  <si>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</si>
  <si>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</si>
  <si>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</si>
  <si>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</si>
  <si>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</si>
  <si>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</si>
  <si>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</si>
  <si>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</si>
  <si>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</si>
  <si>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</si>
  <si>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</si>
  <si>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</si>
  <si>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</si>
  <si>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</si>
  <si>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</si>
  <si>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</si>
  <si>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</si>
  <si>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</si>
  <si>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</si>
  <si>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</si>
  <si>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</si>
  <si>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</si>
  <si>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</si>
  <si>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</si>
  <si>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</si>
  <si>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</si>
  <si>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</si>
  <si>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</si>
  <si>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</si>
  <si>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</si>
  <si>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</si>
  <si>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</si>
  <si>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</si>
  <si>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</si>
  <si>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</si>
  <si>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</si>
  <si>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</si>
  <si>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</si>
  <si>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</si>
  <si>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</si>
  <si>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</si>
  <si>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</si>
  <si>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</si>
  <si>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</si>
  <si>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</si>
  <si>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</si>
  <si>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</si>
  <si>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</si>
  <si>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</si>
  <si>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</si>
  <si>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</si>
  <si>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</si>
  <si>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</si>
  <si>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</si>
  <si>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</si>
  <si>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</si>
  <si>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</si>
  <si>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</si>
  <si>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</si>
  <si>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</si>
  <si>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</si>
  <si>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</si>
  <si>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</si>
  <si>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</si>
  <si>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</si>
  <si>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</si>
  <si>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</si>
  <si>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</si>
  <si>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</si>
  <si>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</si>
  <si>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</si>
  <si>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</si>
  <si>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</si>
  <si>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</si>
  <si>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</si>
  <si>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</si>
  <si>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</si>
  <si>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</si>
  <si>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</si>
  <si>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</si>
  <si>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</si>
  <si>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</si>
  <si>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</si>
  <si>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</si>
  <si>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</si>
  <si>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</si>
  <si>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</si>
  <si>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</si>
  <si>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</si>
  <si>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</si>
  <si>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</si>
  <si>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</si>
  <si>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</si>
  <si>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</si>
  <si>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</si>
  <si>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</si>
  <si>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</si>
  <si>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</si>
  <si>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</si>
  <si>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</si>
  <si>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</si>
  <si>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</si>
  <si>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</si>
  <si>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</si>
  <si>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</si>
  <si>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</si>
  <si>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</si>
  <si>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</si>
  <si>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</si>
  <si>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</si>
  <si>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</si>
  <si>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</si>
  <si>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</si>
  <si>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</si>
  <si>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</si>
  <si>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</si>
  <si>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</si>
  <si>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</si>
  <si>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</si>
  <si>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</si>
  <si>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</si>
  <si>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</si>
  <si>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</si>
  <si>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</si>
  <si>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</si>
  <si>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</si>
  <si>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</si>
  <si>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</si>
  <si>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</si>
  <si>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</si>
  <si>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</si>
  <si>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</si>
  <si>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</si>
  <si>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</si>
  <si>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</si>
  <si>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</si>
  <si>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</si>
  <si>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</si>
  <si>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</si>
  <si>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</si>
  <si>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</si>
  <si>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</si>
  <si>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</si>
  <si>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</si>
  <si>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</si>
  <si>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</si>
  <si>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</si>
  <si>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</si>
  <si>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</si>
  <si>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</si>
  <si>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</si>
  <si>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</si>
  <si>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</si>
  <si>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</si>
  <si>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</si>
  <si>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</si>
  <si>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</si>
  <si>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</si>
  <si>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</si>
  <si>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</si>
  <si>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</si>
  <si>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</si>
  <si>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</si>
  <si>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</si>
  <si>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</si>
  <si>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</si>
  <si>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</si>
  <si>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</si>
  <si>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</si>
  <si>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</si>
  <si>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</si>
  <si>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</si>
  <si>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</si>
  <si>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</si>
  <si>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</si>
  <si>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</si>
  <si>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</si>
  <si>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</si>
  <si>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</si>
  <si>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</si>
  <si>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</si>
  <si>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</si>
  <si>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</si>
  <si>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</si>
  <si>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</si>
  <si>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</si>
  <si>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</si>
  <si>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</si>
  <si>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</si>
  <si>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</si>
  <si>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</si>
  <si>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</si>
  <si>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</si>
  <si>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</si>
  <si>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</si>
  <si>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</si>
  <si>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</si>
  <si>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</si>
  <si>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</si>
  <si>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</si>
  <si>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</si>
  <si>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</si>
  <si>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</si>
  <si>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</si>
  <si>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</si>
  <si>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</si>
  <si>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</si>
  <si>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</si>
  <si>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</si>
  <si>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</si>
  <si>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</si>
  <si>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</si>
  <si>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</si>
  <si>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</si>
  <si>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</si>
  <si>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</si>
  <si>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</si>
  <si>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</si>
  <si>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</si>
  <si>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</si>
  <si>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</si>
  <si>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</si>
  <si>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</si>
  <si>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</si>
  <si>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</si>
  <si>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</si>
  <si>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</si>
  <si>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</si>
  <si>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</si>
  <si>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</si>
  <si>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</si>
  <si>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</si>
  <si>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</si>
  <si>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</si>
  <si>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</si>
  <si>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</si>
  <si>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</si>
  <si>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</si>
  <si>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</si>
  <si>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</si>
  <si>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</si>
  <si>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</si>
  <si>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</si>
  <si>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</si>
  <si>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</si>
  <si>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</si>
  <si>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</si>
  <si>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</si>
  <si>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</si>
  <si>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</si>
  <si>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</si>
  <si>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</si>
  <si>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</si>
  <si>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</si>
  <si>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</si>
  <si>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</si>
  <si>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</si>
  <si>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</si>
  <si>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</si>
  <si>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</si>
  <si>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</si>
  <si>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</si>
  <si>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</si>
  <si>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</si>
  <si>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</si>
  <si>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</si>
  <si>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</si>
  <si>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</si>
  <si>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</si>
  <si>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</si>
  <si>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</si>
  <si>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</si>
  <si>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</si>
  <si>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</si>
  <si>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</si>
  <si>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</si>
  <si>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</si>
  <si>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</si>
  <si>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</si>
  <si>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</si>
  <si>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</si>
  <si>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</si>
  <si>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</si>
  <si>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</si>
  <si>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</si>
  <si>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</si>
  <si>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</si>
  <si>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</si>
  <si>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</si>
  <si>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</si>
  <si>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</si>
  <si>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</si>
  <si>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</si>
  <si>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</si>
  <si>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</si>
  <si>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</si>
  <si>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</si>
  <si>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</si>
  <si>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</si>
  <si>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</si>
  <si>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</si>
  <si>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</si>
  <si>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</si>
  <si>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</si>
  <si>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</si>
  <si>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</si>
  <si>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</si>
  <si>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</si>
  <si>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</si>
  <si>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</si>
  <si>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</si>
  <si>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</si>
  <si>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</si>
  <si>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</si>
  <si>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</si>
  <si>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</si>
  <si>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</si>
  <si>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</si>
  <si>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</si>
  <si>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</si>
  <si>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</si>
  <si>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</si>
  <si>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</si>
  <si>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</si>
  <si>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</si>
  <si>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</si>
  <si>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</si>
  <si>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</si>
  <si>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</si>
  <si>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</si>
  <si>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</si>
  <si>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</si>
  <si>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</si>
  <si>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</si>
  <si>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</si>
  <si>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</si>
  <si>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</si>
  <si>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</si>
  <si>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</si>
  <si>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</si>
  <si>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</si>
  <si>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</si>
  <si>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</si>
  <si>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</si>
  <si>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</si>
  <si>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</si>
  <si>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</si>
  <si>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</si>
  <si>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</si>
  <si>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</si>
  <si>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</si>
  <si>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</si>
  <si>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</si>
  <si>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</si>
  <si>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</si>
  <si>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</si>
  <si>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</si>
  <si>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</si>
  <si>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</si>
  <si>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</si>
  <si>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</si>
  <si>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</si>
  <si>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</si>
  <si>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</si>
  <si>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</si>
  <si>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</si>
  <si>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</si>
  <si>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</si>
  <si>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</si>
  <si>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</si>
  <si>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</si>
  <si>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</si>
  <si>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</si>
  <si>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</si>
  <si>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</si>
  <si>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</si>
  <si>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</si>
  <si>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</si>
  <si>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</si>
  <si>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</si>
  <si>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</si>
  <si>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</si>
  <si>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</si>
  <si>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</si>
  <si>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</si>
  <si>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</si>
  <si>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</si>
  <si>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</si>
  <si>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</si>
  <si>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</si>
  <si>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</si>
  <si>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</si>
  <si>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</si>
  <si>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</si>
  <si>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</si>
  <si>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</si>
  <si>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</si>
  <si>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</si>
  <si>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</si>
  <si>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</si>
  <si>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</si>
  <si>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</si>
  <si>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</si>
  <si>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</si>
  <si>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</si>
  <si>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</si>
  <si>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</si>
  <si>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</si>
  <si>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</si>
  <si>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</si>
  <si>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</si>
  <si>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</si>
  <si>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</si>
  <si>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</si>
  <si>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</si>
  <si>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</si>
  <si>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</si>
  <si>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</si>
  <si>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</si>
  <si>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</si>
  <si>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</si>
  <si>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</si>
  <si>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</si>
  <si>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</si>
  <si>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</si>
  <si>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</si>
  <si>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</si>
  <si>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</si>
  <si>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</si>
  <si>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</si>
  <si>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</si>
  <si>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</si>
  <si>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</si>
  <si>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</si>
  <si>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</si>
  <si>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</si>
  <si>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</si>
  <si>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</si>
  <si>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</si>
  <si>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</si>
  <si>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</si>
  <si>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</si>
  <si>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</si>
  <si>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</si>
  <si>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</si>
  <si>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</si>
  <si>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</si>
  <si>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</si>
  <si>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</si>
  <si>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</si>
  <si>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</si>
  <si>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</si>
  <si>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</si>
  <si>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</si>
  <si>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</si>
  <si>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</si>
  <si>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</si>
  <si>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</si>
  <si>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</si>
  <si>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</si>
  <si>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</si>
  <si>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</si>
  <si>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</si>
  <si>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</si>
  <si>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</si>
  <si>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</si>
  <si>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</si>
  <si>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</si>
  <si>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</si>
  <si>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</si>
  <si>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</si>
  <si>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</si>
  <si>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</si>
  <si>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</si>
  <si>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</si>
  <si>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</si>
  <si>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</si>
  <si>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</si>
  <si>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</si>
  <si>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</si>
  <si>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</si>
  <si>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</si>
  <si>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</si>
  <si>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</si>
  <si>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</si>
  <si>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</si>
  <si>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</si>
  <si>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</si>
  <si>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</si>
  <si>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</si>
  <si>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</si>
  <si>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</si>
  <si>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</si>
  <si>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</si>
  <si>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</si>
  <si>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</si>
  <si>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</si>
  <si>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</si>
  <si>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</si>
  <si>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</si>
  <si>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</si>
  <si>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</si>
  <si>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</si>
  <si>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</si>
  <si>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</si>
  <si>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</si>
  <si>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</si>
  <si>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</si>
  <si>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</si>
  <si>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</si>
  <si>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</si>
  <si>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</si>
  <si>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</si>
  <si>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</si>
  <si>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</si>
  <si>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</si>
  <si>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</si>
  <si>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</si>
  <si>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</si>
  <si>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</si>
  <si>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</si>
  <si>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</si>
  <si>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</si>
  <si>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</si>
  <si>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</si>
  <si>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</si>
  <si>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</si>
  <si>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</si>
  <si>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</si>
  <si>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</si>
  <si>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</si>
  <si>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</si>
  <si>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</si>
  <si>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</si>
  <si>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</si>
  <si>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</si>
  <si>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</si>
  <si>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</si>
  <si>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</si>
  <si>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</si>
  <si>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</si>
  <si>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</si>
  <si>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</si>
  <si>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</si>
  <si>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</si>
  <si>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</si>
  <si>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</si>
  <si>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</si>
  <si>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</si>
  <si>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</si>
  <si>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</si>
  <si>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</si>
  <si>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</si>
  <si>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</si>
  <si>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</si>
  <si>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</si>
  <si>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</si>
  <si>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</si>
  <si>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</si>
  <si>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</si>
  <si>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</si>
  <si>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</si>
  <si>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</si>
  <si>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</si>
  <si>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</si>
  <si>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</si>
  <si>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</si>
  <si>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</si>
  <si>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</si>
  <si>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</si>
  <si>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</si>
  <si>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</si>
  <si>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</si>
  <si>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</si>
  <si>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</si>
  <si>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</si>
  <si>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</si>
  <si>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</si>
  <si>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</si>
  <si>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</si>
  <si>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</si>
  <si>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</si>
  <si>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</si>
  <si>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</si>
  <si>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</si>
  <si>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</si>
  <si>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</si>
  <si>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</si>
  <si>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</si>
  <si>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</si>
  <si>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</si>
  <si>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</si>
  <si>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</si>
  <si>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</si>
  <si>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</si>
  <si>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</si>
  <si>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</si>
  <si>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</si>
  <si>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</si>
  <si>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</si>
  <si>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</si>
  <si>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</si>
  <si>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</si>
  <si>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</si>
  <si>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</si>
  <si>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</si>
  <si>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</si>
  <si>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</si>
  <si>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</si>
  <si>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</si>
  <si>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</si>
  <si>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</si>
  <si>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</si>
  <si>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</si>
  <si>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</si>
  <si>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</si>
  <si>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</si>
  <si>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</si>
  <si>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</si>
  <si>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</si>
  <si>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</si>
  <si>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</si>
  <si>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</si>
  <si>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</si>
  <si>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</si>
  <si>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</si>
  <si>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</si>
  <si>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</si>
  <si>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</si>
  <si>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</si>
  <si>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</si>
  <si>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</si>
  <si>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</si>
  <si>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</si>
  <si>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</si>
  <si>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</si>
  <si>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</si>
  <si>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</si>
  <si>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</si>
  <si>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</si>
  <si>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</si>
  <si>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</si>
  <si>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</si>
  <si>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</si>
  <si>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</si>
  <si>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</si>
  <si>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</si>
  <si>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</si>
  <si>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</si>
  <si>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</si>
  <si>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</si>
  <si>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</si>
  <si>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</si>
  <si>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</si>
  <si>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</si>
  <si>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</si>
  <si>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</si>
  <si>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</si>
  <si>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</si>
  <si>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</si>
  <si>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</si>
  <si>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</si>
  <si>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</si>
  <si>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</si>
  <si>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</si>
  <si>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</si>
  <si>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</si>
  <si>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</si>
  <si>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</si>
  <si>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</si>
  <si>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</si>
  <si>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</si>
  <si>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</si>
  <si>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</si>
  <si>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</si>
  <si>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</si>
  <si>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</si>
  <si>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</si>
  <si>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</si>
  <si>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</si>
  <si>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</si>
  <si>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</si>
  <si>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</si>
  <si>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</si>
  <si>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</si>
  <si>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</si>
  <si>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</si>
  <si>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</si>
  <si>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</si>
  <si>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</si>
  <si>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</si>
  <si>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</si>
  <si>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</si>
  <si>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</si>
  <si>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</si>
  <si>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</si>
  <si>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</si>
  <si>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</si>
  <si>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</si>
  <si>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</si>
  <si>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</si>
  <si>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</si>
  <si>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</si>
  <si>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</si>
  <si>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</si>
  <si>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</si>
  <si>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</si>
  <si>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</si>
  <si>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</si>
  <si>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</si>
  <si>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</si>
  <si>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</si>
  <si>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</si>
  <si>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</si>
  <si>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</si>
  <si>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</si>
  <si>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</si>
  <si>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</si>
  <si>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</si>
  <si>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</si>
  <si>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</si>
  <si>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</si>
  <si>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</si>
  <si>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</si>
  <si>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</si>
  <si>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</si>
  <si>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</si>
  <si>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</si>
  <si>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</si>
  <si>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</si>
  <si>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</si>
  <si>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</si>
  <si>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</si>
  <si>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</si>
  <si>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</si>
  <si>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</si>
  <si>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</si>
  <si>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</si>
  <si>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</si>
  <si>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</si>
  <si>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</si>
  <si>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</si>
  <si>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</si>
  <si>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</si>
  <si>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</si>
  <si>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</si>
  <si>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</si>
  <si>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</si>
  <si>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</si>
  <si>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</si>
  <si>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</si>
  <si>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</si>
  <si>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</si>
  <si>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</si>
  <si>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</si>
  <si>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</si>
  <si>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</si>
  <si>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</si>
  <si>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</si>
  <si>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</si>
  <si>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</si>
  <si>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</si>
  <si>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</si>
  <si>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</si>
  <si>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</si>
  <si>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</si>
  <si>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</si>
  <si>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</si>
  <si>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</si>
  <si>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</si>
  <si>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</si>
  <si>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</si>
  <si>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</si>
  <si>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</si>
  <si>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</si>
  <si>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</si>
  <si>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</si>
  <si>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</si>
  <si>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</si>
  <si>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</si>
  <si>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</si>
  <si>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</si>
  <si>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</si>
  <si>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</si>
  <si>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</si>
  <si>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</si>
  <si>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</si>
  <si>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</si>
  <si>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</si>
  <si>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</si>
  <si>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</si>
  <si>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</si>
  <si>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</si>
  <si>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</si>
  <si>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</si>
  <si>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</si>
  <si>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</si>
  <si>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</si>
  <si>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</si>
  <si>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</si>
  <si>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</si>
  <si>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</si>
  <si>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</si>
  <si>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</si>
  <si>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</si>
  <si>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</si>
  <si>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</si>
  <si>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</si>
  <si>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</si>
  <si>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</si>
  <si>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</si>
  <si>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</si>
  <si>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</si>
  <si>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</si>
  <si>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</si>
  <si>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</si>
  <si>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</si>
  <si>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</si>
  <si>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</si>
  <si>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</si>
  <si>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</si>
  <si>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</si>
  <si>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</si>
  <si>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</si>
  <si>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</si>
  <si>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</si>
  <si>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</si>
  <si>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</si>
  <si>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</si>
  <si>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</si>
  <si>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</si>
  <si>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</si>
  <si>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</si>
  <si>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</si>
  <si>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</si>
  <si>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</si>
  <si>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</si>
  <si>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</si>
  <si>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</si>
  <si>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</si>
  <si>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</si>
  <si>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</si>
  <si>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</si>
  <si>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</si>
  <si>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</si>
  <si>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</si>
  <si>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</si>
  <si>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</si>
  <si>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</si>
  <si>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</si>
  <si>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</si>
  <si>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</si>
  <si>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</si>
  <si>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</si>
  <si>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</si>
  <si>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</si>
  <si>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</si>
  <si>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</si>
  <si>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</si>
  <si>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</si>
  <si>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</si>
  <si>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</si>
  <si>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</si>
  <si>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</si>
  <si>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</si>
  <si>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</si>
  <si>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</si>
  <si>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</si>
  <si>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</si>
  <si>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</si>
  <si>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</si>
  <si>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</si>
  <si>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</si>
  <si>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</si>
  <si>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</si>
  <si>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</si>
  <si>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</si>
  <si>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</si>
  <si>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</si>
  <si>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</si>
  <si>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</si>
  <si>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</si>
  <si>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</si>
  <si>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</si>
  <si>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</si>
  <si>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</si>
  <si>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</si>
  <si>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</si>
  <si>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</si>
  <si>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</si>
  <si>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</si>
  <si>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</si>
  <si>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</si>
  <si>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</si>
  <si>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</si>
  <si>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</si>
  <si>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</si>
  <si>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</si>
  <si>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</si>
  <si>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</si>
  <si>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</si>
  <si>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</si>
  <si>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</si>
  <si>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</si>
  <si>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</si>
  <si>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</si>
  <si>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</si>
  <si>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</si>
  <si>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</si>
  <si>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</si>
  <si>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</si>
  <si>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</si>
  <si>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</si>
  <si>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</si>
  <si>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</si>
  <si>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</si>
  <si>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</si>
  <si>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</si>
  <si>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</si>
  <si>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</si>
  <si>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</si>
  <si>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</si>
  <si>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</si>
  <si>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</si>
  <si>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</si>
  <si>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</si>
  <si>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</si>
  <si>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</si>
  <si>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</si>
  <si>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</si>
  <si>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</si>
  <si>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</si>
  <si>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</si>
  <si>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</si>
  <si>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</si>
  <si>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</si>
  <si>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</si>
  <si>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</si>
  <si>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</si>
  <si>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</si>
  <si>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</si>
  <si>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</si>
  <si>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</si>
  <si>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</si>
  <si>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</si>
  <si>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</si>
  <si>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</si>
  <si>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</si>
  <si>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</si>
  <si>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</si>
  <si>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</si>
  <si>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</si>
  <si>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</si>
  <si>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</si>
  <si>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</si>
  <si>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</si>
  <si>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</si>
  <si>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</si>
  <si>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</si>
  <si>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</si>
  <si>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</si>
  <si>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</si>
  <si>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</si>
  <si>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</si>
  <si>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</si>
  <si>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</si>
  <si>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</si>
  <si>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</si>
  <si>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</si>
  <si>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</si>
  <si>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</si>
  <si>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</si>
  <si>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</si>
  <si>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</si>
  <si>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</si>
  <si>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</si>
  <si>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</si>
  <si>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</si>
  <si>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</si>
  <si>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</si>
  <si>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</si>
  <si>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</si>
  <si>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</si>
  <si>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</si>
  <si>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</si>
  <si>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</si>
  <si>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</si>
  <si>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</si>
  <si>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</si>
  <si>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</si>
  <si>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</si>
  <si>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</si>
  <si>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</si>
  <si>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</si>
  <si>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</si>
  <si>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</si>
  <si>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</si>
  <si>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</si>
  <si>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</si>
  <si>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</si>
  <si>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</si>
  <si>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</si>
  <si>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</si>
  <si>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</si>
  <si>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</si>
  <si>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</si>
  <si>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</si>
  <si>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</si>
  <si>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</si>
  <si>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</si>
  <si>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</si>
  <si>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</si>
  <si>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</si>
  <si>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</si>
  <si>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</si>
  <si>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</si>
  <si>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</si>
  <si>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</si>
  <si>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</si>
  <si>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</si>
  <si>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</si>
  <si>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</si>
  <si>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</si>
  <si>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</si>
  <si>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</si>
  <si>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</si>
  <si>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</si>
  <si>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</si>
  <si>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</si>
  <si>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</si>
  <si>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</si>
  <si>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</si>
  <si>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</si>
  <si>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</si>
  <si>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</si>
  <si>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</si>
  <si>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</si>
  <si>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</si>
  <si>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</si>
  <si>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</si>
  <si>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</si>
  <si>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</si>
  <si>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</si>
  <si>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</si>
  <si>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</si>
  <si>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</si>
  <si>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</si>
  <si>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</si>
  <si>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</si>
  <si>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</si>
  <si>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</si>
  <si>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</si>
  <si>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</si>
  <si>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</si>
  <si>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</si>
  <si>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</si>
  <si>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</si>
  <si>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</si>
  <si>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</si>
  <si>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</si>
  <si>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</si>
  <si>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</si>
  <si>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</si>
  <si>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</si>
  <si>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</si>
  <si>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</si>
  <si>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</si>
  <si>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</si>
  <si>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</si>
  <si>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</si>
  <si>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</si>
  <si>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</si>
  <si>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</si>
  <si>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</si>
  <si>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</si>
  <si>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</si>
  <si>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</si>
  <si>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</si>
  <si>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</si>
  <si>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</si>
  <si>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</si>
  <si>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</si>
  <si>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</si>
  <si>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</si>
  <si>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</si>
  <si>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</si>
  <si>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</si>
  <si>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</si>
  <si>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</si>
  <si>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</si>
  <si>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</si>
  <si>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</si>
  <si>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</si>
  <si>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</si>
  <si>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</si>
  <si>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</si>
  <si>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</si>
  <si>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</si>
  <si>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</si>
  <si>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</si>
  <si>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</si>
  <si>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</si>
  <si>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</si>
  <si>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</si>
  <si>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</si>
  <si>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</si>
  <si>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</si>
  <si>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</si>
  <si>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</si>
  <si>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</si>
  <si>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</si>
  <si>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</si>
  <si>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</si>
  <si>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</si>
  <si>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</si>
  <si>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</si>
  <si>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</si>
  <si>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</si>
  <si>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</si>
  <si>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</si>
  <si>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</si>
  <si>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</si>
  <si>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</si>
  <si>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</si>
  <si>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</si>
  <si>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</si>
  <si>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</si>
  <si>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</si>
  <si>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</si>
  <si>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</si>
  <si>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</si>
  <si>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</si>
  <si>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</si>
  <si>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</si>
  <si>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</si>
  <si>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</si>
  <si>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</si>
  <si>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</si>
  <si>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</si>
  <si>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</si>
  <si>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</si>
  <si>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</si>
  <si>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</si>
  <si>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</si>
  <si>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</si>
  <si>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</si>
  <si>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</si>
  <si>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</si>
  <si>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</si>
  <si>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</si>
  <si>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</si>
  <si>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</si>
  <si>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</si>
  <si>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</si>
  <si>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</si>
  <si>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</si>
  <si>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</si>
  <si>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</si>
  <si>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</si>
  <si>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</si>
  <si>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</si>
  <si>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</si>
  <si>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</si>
  <si>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</si>
  <si>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</si>
  <si>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</si>
  <si>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</si>
  <si>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</si>
  <si>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</si>
  <si>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</si>
  <si>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</si>
  <si>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</si>
  <si>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</si>
  <si>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</si>
  <si>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</si>
  <si>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</si>
  <si>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</si>
  <si>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</si>
  <si>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</si>
  <si>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</si>
  <si>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</si>
  <si>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</si>
  <si>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</si>
  <si>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</si>
  <si>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</si>
  <si>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</si>
  <si>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</si>
  <si>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</si>
  <si>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</si>
  <si>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</si>
  <si>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</si>
  <si>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</si>
  <si>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</si>
  <si>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</si>
  <si>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</si>
  <si>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</si>
  <si>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</si>
  <si>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</si>
  <si>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</si>
  <si>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</si>
  <si>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</si>
  <si>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</si>
  <si>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</si>
  <si>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</si>
  <si>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</si>
  <si>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</si>
  <si>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</si>
  <si>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</si>
  <si>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</si>
  <si>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</si>
  <si>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</si>
  <si>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</si>
  <si>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</si>
  <si>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</si>
  <si>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</si>
  <si>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</si>
  <si>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</si>
  <si>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</si>
  <si>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</si>
  <si>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</si>
  <si>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</si>
  <si>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</si>
  <si>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</si>
  <si>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</si>
  <si>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</si>
  <si>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</si>
  <si>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</si>
  <si>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</si>
  <si>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</si>
  <si>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</si>
  <si>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</si>
  <si>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</si>
  <si>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</si>
  <si>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</si>
  <si>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</si>
  <si>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</si>
  <si>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</si>
  <si>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</si>
  <si>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</si>
  <si>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</si>
  <si>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</si>
  <si>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</si>
  <si>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</si>
  <si>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</si>
  <si>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</si>
  <si>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</si>
  <si>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</si>
  <si>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</si>
  <si>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</si>
  <si>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</si>
  <si>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</si>
  <si>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</si>
  <si>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</si>
  <si>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</si>
  <si>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</si>
  <si>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</si>
  <si>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</si>
  <si>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</si>
  <si>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</si>
  <si>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</si>
  <si>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</si>
  <si>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</si>
  <si>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</si>
  <si>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</si>
  <si>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</si>
  <si>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</si>
  <si>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</si>
  <si>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</si>
  <si>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</si>
  <si>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</si>
  <si>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</si>
  <si>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</si>
  <si>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</si>
  <si>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</si>
  <si>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</si>
  <si>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</si>
  <si>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</si>
  <si>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</si>
  <si>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</si>
  <si>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</si>
  <si>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</si>
  <si>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</si>
  <si>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</si>
  <si>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</si>
  <si>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</si>
  <si>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</si>
  <si>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</si>
  <si>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</si>
  <si>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</si>
  <si>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</si>
  <si>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</si>
  <si>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</si>
  <si>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</si>
  <si>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</si>
  <si>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</si>
  <si>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</si>
  <si>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</si>
  <si>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</si>
  <si>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</si>
  <si>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</si>
  <si>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</si>
  <si>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</si>
  <si>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</si>
  <si>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</si>
  <si>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</si>
  <si>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</si>
  <si>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</si>
  <si>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</si>
  <si>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</si>
  <si>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</si>
  <si>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</si>
  <si>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</si>
  <si>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</si>
  <si>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</si>
  <si>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</si>
  <si>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</si>
  <si>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</si>
  <si>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</si>
  <si>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</si>
  <si>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</si>
  <si>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</si>
  <si>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</si>
  <si>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</si>
  <si>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</si>
  <si>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</si>
  <si>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</si>
  <si>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</si>
  <si>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</si>
  <si>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</si>
  <si>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</si>
  <si>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</si>
  <si>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</si>
  <si>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</si>
  <si>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</si>
  <si>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</si>
  <si>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</si>
  <si>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</si>
  <si>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</si>
  <si>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</si>
  <si>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</si>
  <si>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</si>
  <si>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</si>
  <si>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</si>
  <si>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</si>
  <si>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</si>
  <si>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</si>
  <si>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</si>
  <si>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</si>
  <si>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</si>
  <si>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</si>
  <si>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</si>
  <si>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</si>
  <si>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</si>
  <si>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</si>
  <si>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</si>
  <si>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</si>
  <si>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</si>
  <si>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</si>
  <si>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</si>
  <si>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</si>
  <si>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</si>
  <si>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</si>
  <si>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</si>
  <si>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</si>
  <si>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</si>
  <si>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</si>
  <si>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</si>
  <si>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</si>
  <si>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</si>
  <si>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</si>
  <si>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</si>
  <si>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</si>
  <si>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</si>
  <si>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</si>
  <si>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</si>
  <si>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</si>
  <si>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</si>
  <si>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</si>
  <si>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</si>
  <si>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</si>
  <si>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</si>
  <si>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</si>
  <si>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</si>
  <si>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</si>
  <si>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</si>
  <si>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</si>
  <si>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</si>
  <si>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</si>
  <si>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</si>
  <si>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</si>
  <si>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</si>
  <si>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</si>
  <si>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</si>
  <si>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</si>
  <si>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</si>
  <si>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</si>
  <si>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</si>
  <si>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</si>
  <si>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</si>
  <si>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</si>
  <si>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</si>
  <si>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</si>
  <si>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</si>
  <si>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</si>
  <si>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</si>
  <si>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</si>
  <si>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</si>
  <si>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</si>
  <si>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</si>
  <si>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</si>
  <si>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</si>
  <si>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</si>
  <si>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</si>
  <si>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</si>
  <si>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</si>
  <si>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</si>
  <si>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</si>
  <si>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</si>
  <si>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</si>
  <si>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</si>
  <si>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</si>
  <si>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</si>
  <si>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</si>
  <si>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</si>
  <si>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</si>
  <si>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</si>
  <si>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</si>
  <si>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</si>
  <si>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</si>
  <si>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</si>
  <si>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</si>
  <si>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</si>
  <si>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</si>
  <si>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</si>
  <si>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</si>
  <si>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</si>
  <si>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</si>
  <si>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</si>
  <si>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</si>
  <si>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</si>
  <si>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</si>
  <si>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</si>
  <si>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</si>
  <si>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</si>
  <si>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</si>
  <si>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</si>
  <si>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</si>
  <si>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</si>
  <si>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</si>
  <si>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</si>
  <si>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</si>
  <si>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</si>
  <si>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</si>
  <si>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</si>
  <si>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</si>
  <si>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</si>
  <si>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</si>
  <si>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</si>
  <si>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</si>
  <si>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</si>
  <si>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</si>
  <si>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</si>
  <si>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</si>
  <si>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</si>
  <si>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</si>
  <si>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</si>
  <si>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</si>
  <si>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</si>
  <si>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</si>
  <si>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</si>
  <si>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</si>
  <si>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</si>
  <si>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</si>
  <si>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</si>
  <si>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</si>
  <si>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</si>
  <si>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</si>
  <si>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</si>
  <si>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</si>
  <si>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</si>
  <si>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</si>
  <si>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</si>
  <si>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</si>
  <si>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</si>
  <si>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</si>
  <si>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</si>
  <si>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</si>
  <si>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</si>
  <si>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</si>
  <si>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</si>
  <si>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</si>
  <si>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</si>
  <si>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</si>
  <si>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</si>
  <si>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</si>
  <si>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</si>
  <si>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</si>
  <si>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</si>
  <si>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</si>
  <si>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</si>
  <si>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</si>
  <si>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</si>
  <si>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</si>
  <si>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</si>
  <si>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</si>
  <si>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</si>
  <si>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</si>
  <si>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</si>
  <si>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</si>
  <si>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</si>
  <si>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</si>
  <si>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</si>
  <si>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</si>
  <si>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</si>
  <si>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</si>
  <si>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</si>
  <si>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</si>
  <si>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</si>
  <si>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</si>
  <si>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</si>
  <si>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</si>
  <si>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</si>
  <si>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</si>
  <si>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</si>
  <si>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</si>
  <si>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</si>
  <si>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</si>
  <si>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</si>
  <si>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</si>
  <si>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</si>
  <si>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</si>
  <si>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</si>
  <si>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</si>
  <si>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</si>
  <si>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</si>
  <si>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</si>
  <si>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</si>
  <si>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</si>
  <si>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</si>
  <si>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</si>
  <si>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</si>
  <si>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</si>
  <si>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</si>
  <si>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</si>
  <si>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</si>
  <si>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</si>
  <si>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</si>
  <si>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</si>
  <si>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</si>
  <si>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</si>
  <si>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</si>
  <si>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</si>
  <si>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</si>
  <si>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</si>
  <si>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</si>
  <si>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</si>
  <si>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</si>
  <si>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</si>
  <si>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</si>
  <si>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</si>
  <si>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</si>
  <si>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</si>
  <si>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</si>
  <si>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</si>
  <si>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</si>
  <si>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</si>
  <si>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</si>
  <si>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</si>
  <si>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</si>
  <si>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</si>
  <si>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</si>
  <si>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</si>
  <si>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</si>
  <si>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</si>
  <si>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</si>
  <si>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</si>
  <si>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</si>
  <si>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</si>
  <si>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</si>
  <si>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</si>
  <si>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</si>
  <si>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</si>
  <si>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</si>
  <si>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</si>
  <si>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</si>
  <si>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</si>
  <si>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</si>
  <si>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</si>
  <si>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</si>
  <si>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</si>
  <si>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</si>
  <si>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</si>
  <si>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</si>
  <si>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</si>
  <si>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</si>
  <si>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</si>
  <si>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</si>
  <si>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</si>
  <si>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</si>
  <si>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</si>
  <si>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</si>
  <si>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</si>
  <si>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</si>
  <si>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</si>
  <si>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</si>
  <si>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</si>
  <si>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</si>
  <si>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</si>
  <si>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</si>
  <si>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</si>
  <si>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</si>
  <si>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</si>
  <si>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</si>
  <si>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</si>
  <si>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</si>
  <si>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</si>
  <si>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</si>
  <si>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</si>
  <si>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</si>
  <si>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</si>
  <si>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</si>
  <si>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</si>
  <si>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</si>
  <si>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</si>
  <si>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</si>
  <si>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</si>
  <si>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</si>
  <si>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</si>
  <si>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</si>
  <si>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</si>
  <si>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</si>
  <si>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</si>
  <si>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</si>
  <si>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</si>
  <si>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</si>
  <si>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</si>
  <si>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</si>
  <si>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</si>
  <si>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</si>
  <si>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</si>
  <si>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</si>
  <si>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</si>
  <si>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</si>
  <si>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</si>
  <si>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</si>
  <si>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</si>
  <si>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</si>
  <si>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</si>
  <si>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</si>
  <si>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</si>
  <si>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</si>
  <si>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</si>
  <si>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</si>
  <si>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</si>
  <si>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</si>
  <si>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</si>
  <si>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</si>
  <si>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</si>
  <si>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</si>
  <si>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</si>
  <si>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</si>
  <si>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</si>
  <si>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</si>
  <si>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</si>
  <si>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</si>
  <si>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</si>
  <si>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</si>
  <si>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</si>
  <si>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</si>
  <si>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</si>
  <si>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</si>
  <si>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</si>
  <si>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</si>
  <si>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</si>
  <si>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</si>
  <si>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</si>
  <si>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</si>
  <si>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</si>
  <si>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</si>
  <si>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</si>
  <si>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</si>
  <si>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</si>
  <si>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</si>
  <si>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</si>
  <si>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</si>
  <si>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</si>
  <si>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</si>
  <si>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</si>
  <si>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</si>
  <si>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</si>
  <si>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</si>
  <si>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</si>
  <si>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</si>
  <si>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</si>
  <si>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</si>
  <si>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</si>
  <si>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</si>
  <si>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</si>
  <si>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</si>
  <si>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</si>
  <si>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</si>
  <si>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</si>
  <si>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</si>
  <si>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</si>
  <si>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</si>
  <si>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</si>
  <si>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</si>
  <si>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</si>
  <si>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</si>
  <si>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</si>
  <si>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</si>
  <si>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</si>
  <si>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</si>
  <si>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</si>
  <si>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</si>
  <si>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</si>
  <si>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</si>
  <si>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</si>
  <si>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</si>
  <si>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</si>
  <si>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</si>
  <si>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</si>
  <si>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</si>
  <si>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</si>
  <si>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</si>
  <si>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</si>
  <si>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</si>
  <si>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</si>
  <si>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</si>
  <si>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</si>
  <si>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</si>
  <si>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</si>
  <si>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</si>
  <si>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</si>
  <si>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</si>
  <si>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</si>
  <si>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</si>
  <si>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</si>
  <si>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</si>
  <si>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</si>
  <si>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</si>
  <si>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</si>
  <si>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</si>
  <si>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</si>
  <si>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</si>
  <si>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</si>
  <si>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</si>
  <si>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</si>
  <si>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</si>
  <si>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</si>
  <si>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</si>
  <si>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</si>
  <si>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</si>
  <si>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</si>
  <si>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</si>
  <si>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</si>
  <si>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</si>
  <si>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</si>
  <si>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</si>
  <si>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</si>
  <si>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</si>
  <si>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</si>
  <si>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</si>
  <si>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</si>
  <si>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</si>
  <si>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</si>
  <si>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</si>
  <si>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</si>
  <si>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</si>
  <si>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</si>
  <si>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</si>
  <si>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</si>
  <si>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</si>
  <si>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</si>
  <si>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</si>
  <si>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</si>
  <si>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</si>
  <si>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</si>
  <si>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</si>
  <si>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</si>
  <si>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</si>
  <si>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</si>
  <si>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</si>
  <si>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</si>
  <si>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</si>
  <si>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</si>
  <si>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</si>
  <si>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</si>
  <si>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</si>
  <si>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</si>
  <si>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</si>
  <si>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</si>
  <si>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</si>
  <si>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</si>
  <si>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</si>
  <si>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</si>
  <si>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</si>
  <si>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</si>
  <si>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</si>
  <si>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</si>
  <si>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</si>
  <si>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</si>
  <si>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</si>
  <si>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</si>
  <si>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</si>
  <si>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</si>
  <si>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</si>
  <si>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</si>
  <si>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</si>
  <si>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</si>
  <si>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</si>
  <si>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</si>
  <si>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</si>
  <si>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</si>
  <si>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</si>
  <si>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</si>
  <si>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</si>
  <si>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</si>
  <si>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</si>
  <si>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</si>
  <si>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</si>
  <si>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</si>
  <si>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</si>
  <si>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</si>
  <si>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</si>
  <si>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</si>
  <si>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</si>
  <si>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</si>
  <si>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</si>
  <si>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</si>
  <si>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</si>
  <si>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</si>
  <si>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</si>
  <si>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</si>
  <si>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</si>
  <si>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</si>
  <si>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</si>
  <si>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</si>
  <si>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</si>
  <si>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</si>
  <si>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</si>
  <si>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</si>
  <si>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</si>
  <si>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</si>
  <si>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</si>
  <si>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</si>
  <si>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</si>
  <si>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</si>
  <si>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</si>
  <si>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</si>
  <si>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</si>
  <si>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</si>
  <si>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</si>
  <si>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</si>
  <si>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</si>
  <si>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</si>
  <si>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</si>
  <si>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</si>
  <si>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</si>
  <si>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</si>
  <si>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</si>
  <si>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</si>
  <si>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</si>
  <si>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</si>
  <si>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</si>
  <si>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</si>
  <si>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</si>
  <si>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</si>
  <si>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</si>
  <si>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</si>
  <si>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</si>
  <si>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</si>
  <si>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</si>
  <si>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</si>
  <si>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</si>
  <si>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</si>
  <si>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</si>
  <si>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</si>
  <si>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</si>
  <si>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</si>
  <si>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</si>
  <si>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</si>
  <si>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</si>
  <si>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</si>
  <si>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</si>
  <si>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</si>
  <si>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</si>
  <si>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</si>
  <si>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</si>
  <si>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</si>
  <si>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</si>
  <si>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</si>
  <si>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</si>
  <si>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</si>
  <si>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</si>
  <si>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</si>
  <si>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</si>
  <si>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</si>
  <si>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</si>
  <si>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</si>
  <si>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</si>
  <si>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</si>
  <si>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</si>
  <si>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</si>
  <si>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</si>
  <si>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</si>
  <si>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</si>
  <si>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</si>
  <si>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</si>
  <si>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</si>
  <si>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</si>
  <si>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</si>
  <si>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</si>
  <si>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</si>
  <si>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</si>
  <si>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</si>
  <si>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</si>
  <si>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</si>
  <si>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</si>
  <si>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</si>
  <si>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</si>
  <si>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</si>
  <si>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</si>
  <si>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</si>
  <si>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</si>
  <si>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</si>
  <si>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</si>
  <si>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</si>
  <si>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</si>
  <si>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</si>
  <si>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</si>
  <si>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</si>
  <si>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</si>
  <si>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</si>
  <si>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</si>
  <si>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</si>
  <si>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</si>
  <si>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</si>
  <si>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</si>
  <si>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</si>
  <si>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</si>
  <si>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</si>
  <si>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</si>
  <si>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</si>
  <si>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</si>
  <si>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</si>
  <si>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</si>
  <si>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</si>
  <si>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</si>
  <si>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</si>
  <si>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</si>
  <si>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</si>
  <si>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</si>
  <si>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</si>
  <si>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</si>
  <si>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</si>
  <si>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</si>
  <si>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</si>
  <si>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</si>
  <si>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</si>
  <si>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</si>
  <si>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</si>
  <si>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</si>
  <si>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</si>
  <si>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</si>
  <si>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</si>
  <si>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</si>
  <si>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</si>
  <si>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</si>
  <si>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</si>
  <si>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</si>
  <si>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</si>
  <si>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</si>
  <si>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</si>
  <si>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</si>
  <si>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</si>
  <si>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</si>
  <si>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</si>
  <si>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</si>
  <si>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</si>
  <si>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</si>
  <si>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</si>
  <si>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</si>
  <si>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</si>
  <si>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</si>
  <si>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</si>
  <si>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</si>
  <si>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</si>
  <si>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</si>
  <si>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</si>
  <si>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</si>
  <si>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</si>
  <si>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</si>
  <si>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</si>
  <si>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</si>
  <si>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</si>
  <si>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</si>
  <si>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</si>
  <si>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</si>
  <si>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</si>
  <si>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</si>
  <si>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</si>
  <si>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</si>
  <si>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</si>
  <si>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</si>
  <si>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</si>
  <si>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</si>
  <si>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</si>
  <si>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</si>
  <si>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</si>
  <si>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</si>
  <si>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</si>
  <si>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</si>
  <si>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</si>
  <si>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</si>
  <si>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</si>
  <si>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</si>
  <si>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</si>
  <si>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</si>
  <si>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</si>
  <si>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</si>
  <si>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</si>
  <si>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</si>
  <si>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</si>
  <si>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</si>
  <si>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</si>
  <si>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</si>
  <si>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</si>
  <si>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</si>
  <si>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</si>
  <si>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</si>
  <si>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</si>
  <si>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</si>
  <si>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</si>
  <si>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</si>
  <si>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</si>
  <si>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</si>
  <si>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</si>
  <si>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</si>
  <si>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</si>
  <si>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</si>
  <si>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</si>
  <si>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</si>
  <si>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</si>
  <si>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</si>
  <si>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</si>
  <si>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</si>
  <si>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</si>
  <si>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</si>
  <si>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</si>
  <si>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</si>
  <si>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</si>
  <si>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</si>
  <si>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</si>
  <si>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</si>
  <si>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</si>
  <si>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</si>
  <si>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</si>
  <si>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</si>
  <si>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</si>
  <si>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</si>
  <si>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</si>
  <si>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</si>
  <si>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</si>
  <si>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</si>
  <si>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</si>
  <si>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</si>
  <si>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</si>
  <si>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</si>
  <si>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</si>
  <si>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</si>
  <si>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</si>
  <si>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</si>
  <si>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</si>
  <si>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</si>
  <si>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</si>
  <si>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</si>
  <si>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</si>
  <si>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</si>
  <si>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</si>
  <si>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</si>
  <si>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</si>
  <si>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</si>
  <si>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</si>
  <si>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</si>
  <si>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</si>
  <si>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</si>
  <si>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</si>
  <si>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</si>
  <si>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</si>
  <si>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</si>
  <si>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</si>
  <si>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</si>
  <si>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</si>
  <si>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</si>
  <si>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</si>
  <si>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</si>
  <si>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</si>
  <si>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</si>
  <si>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</si>
  <si>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</si>
  <si>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</si>
  <si>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</si>
  <si>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</si>
  <si>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</si>
  <si>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</si>
  <si>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</si>
  <si>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</si>
  <si>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</si>
  <si>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</si>
  <si>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</si>
  <si>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</si>
  <si>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</si>
  <si>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</si>
  <si>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</si>
  <si>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</si>
  <si>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</si>
  <si>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</si>
  <si>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</si>
  <si>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</si>
  <si>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</si>
  <si>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</si>
  <si>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</si>
  <si>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</si>
  <si>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</si>
  <si>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</si>
  <si>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</si>
  <si>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</si>
  <si>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</si>
  <si>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</si>
  <si>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</si>
  <si>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</si>
  <si>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</si>
  <si>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</si>
  <si>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</si>
  <si>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</si>
  <si>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</si>
  <si>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</si>
  <si>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</si>
  <si>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</si>
  <si>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</si>
  <si>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</si>
  <si>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</si>
  <si>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</si>
  <si>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</si>
  <si>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</si>
  <si>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</si>
  <si>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</si>
  <si>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</si>
  <si>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</si>
  <si>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</si>
  <si>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</si>
  <si>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</si>
  <si>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</si>
  <si>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</si>
  <si>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</si>
  <si>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</si>
  <si>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</si>
  <si>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</si>
  <si>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</si>
  <si>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</si>
  <si>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</si>
  <si>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</si>
  <si>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</si>
  <si>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</si>
  <si>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</si>
  <si>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</si>
  <si>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</si>
  <si>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</si>
  <si>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</si>
  <si>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</si>
  <si>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</si>
  <si>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</si>
  <si>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</si>
  <si>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</si>
  <si>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</si>
  <si>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</si>
  <si>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</si>
  <si>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</si>
  <si>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</si>
  <si>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</si>
  <si>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</si>
  <si>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</si>
  <si>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</si>
  <si>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</si>
  <si>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</si>
  <si>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</si>
  <si>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</si>
  <si>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</si>
  <si>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</si>
  <si>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</si>
  <si>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</si>
  <si>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</si>
  <si>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</si>
  <si>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</si>
  <si>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</si>
  <si>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</si>
  <si>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</si>
  <si>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</si>
  <si>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</si>
  <si>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</si>
  <si>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</si>
  <si>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</si>
  <si>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</si>
  <si>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</si>
  <si>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</si>
  <si>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</si>
  <si>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</si>
  <si>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</si>
  <si>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</si>
  <si>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</si>
  <si>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</si>
  <si>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</si>
  <si>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</si>
  <si>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</si>
  <si>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</si>
  <si>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</si>
  <si>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</si>
  <si>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</si>
  <si>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</si>
  <si>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</si>
  <si>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</si>
  <si>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</si>
  <si>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</si>
  <si>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</si>
  <si>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</si>
  <si>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</si>
  <si>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</si>
  <si>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</si>
  <si>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</si>
  <si>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</si>
  <si>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</si>
  <si>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</si>
  <si>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</si>
  <si>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</si>
  <si>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</si>
  <si>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</si>
  <si>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</si>
  <si>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</si>
  <si>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</si>
  <si>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</si>
  <si>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</si>
  <si>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</si>
  <si>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</si>
  <si>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</si>
  <si>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</si>
  <si>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</si>
  <si>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</si>
  <si>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</si>
  <si>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</si>
  <si>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</si>
  <si>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</si>
  <si>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</si>
  <si>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</si>
  <si>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</si>
  <si>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</si>
  <si>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</si>
  <si>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</si>
  <si>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</si>
  <si>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</si>
  <si>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</si>
  <si>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</si>
  <si>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</si>
  <si>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</si>
  <si>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</si>
  <si>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</si>
  <si>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</si>
  <si>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</si>
  <si>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</si>
  <si>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</si>
  <si>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</si>
  <si>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</si>
  <si>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</si>
  <si>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</si>
  <si>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</si>
  <si>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</si>
  <si>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</si>
  <si>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</si>
  <si>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</si>
  <si>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</si>
  <si>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</si>
  <si>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</si>
  <si>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</si>
  <si>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</si>
  <si>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</si>
  <si>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</si>
  <si>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</si>
  <si>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</si>
  <si>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</si>
  <si>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</si>
  <si>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</si>
  <si>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</si>
  <si>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</si>
  <si>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</si>
  <si>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</si>
  <si>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</si>
  <si>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</si>
  <si>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</si>
  <si>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</si>
  <si>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</si>
  <si>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</si>
  <si>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</si>
  <si>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</si>
  <si>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</si>
  <si>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</si>
  <si>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</si>
  <si>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</si>
  <si>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</si>
  <si>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</si>
  <si>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</si>
  <si>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</si>
  <si>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</si>
  <si>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</si>
  <si>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</si>
  <si>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</si>
  <si>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</si>
  <si>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</si>
  <si>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</si>
  <si>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</si>
  <si>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</si>
  <si>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</si>
  <si>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</si>
  <si>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</si>
  <si>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</si>
  <si>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</si>
  <si>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</si>
  <si>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</si>
  <si>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</si>
  <si>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</si>
  <si>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</si>
  <si>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</si>
  <si>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</si>
  <si>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</si>
  <si>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</si>
  <si>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</si>
  <si>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</si>
  <si>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</si>
  <si>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</si>
  <si>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</si>
  <si>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</si>
  <si>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</si>
  <si>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</si>
  <si>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</si>
  <si>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</si>
  <si>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</si>
  <si>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</si>
  <si>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</si>
  <si>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</si>
  <si>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</si>
  <si>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</si>
  <si>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</si>
  <si>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</si>
  <si>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</si>
  <si>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</si>
  <si>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</si>
  <si>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</si>
  <si>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</si>
  <si>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</si>
  <si>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</si>
  <si>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</si>
  <si>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</si>
  <si>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</si>
  <si>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</si>
  <si>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</si>
  <si>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</si>
  <si>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</si>
  <si>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</si>
  <si>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</si>
  <si>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</si>
  <si>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</si>
  <si>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</si>
  <si>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</si>
  <si>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</si>
  <si>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</si>
  <si>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</si>
  <si>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</si>
  <si>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</si>
  <si>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</si>
  <si>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</si>
  <si>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</si>
  <si>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</si>
  <si>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</si>
  <si>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</si>
  <si>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</si>
  <si>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</si>
  <si>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</si>
  <si>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</si>
  <si>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</si>
  <si>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</si>
  <si>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</si>
  <si>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</si>
  <si>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</si>
  <si>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</si>
  <si>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</si>
  <si>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</si>
  <si>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</si>
  <si>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</si>
  <si>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</si>
  <si>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</si>
  <si>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</si>
  <si>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</si>
  <si>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</si>
  <si>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</si>
  <si>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</si>
  <si>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</si>
  <si>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</si>
  <si>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</si>
  <si>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</si>
  <si>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</si>
  <si>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</si>
  <si>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</si>
  <si>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</si>
  <si>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</si>
  <si>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</si>
  <si>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</si>
  <si>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</si>
  <si>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</si>
  <si>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</si>
  <si>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</si>
  <si>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</si>
  <si>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</si>
  <si>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</si>
  <si>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</si>
  <si>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</si>
  <si>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</si>
  <si>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</si>
  <si>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</si>
  <si>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</si>
  <si>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</si>
  <si>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</si>
  <si>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</si>
  <si>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</si>
  <si>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</si>
  <si>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</si>
  <si>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</si>
  <si>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</si>
  <si>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</si>
  <si>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</si>
  <si>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</si>
  <si>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</si>
  <si>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</si>
  <si>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</si>
  <si>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</si>
  <si>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</si>
  <si>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</si>
  <si>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</si>
  <si>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</si>
  <si>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</si>
  <si>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</si>
  <si>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</si>
  <si>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</si>
  <si>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</si>
  <si>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</si>
  <si>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</si>
  <si>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</si>
  <si>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</si>
  <si>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</si>
  <si>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</si>
  <si>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</si>
  <si>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</si>
  <si>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</si>
  <si>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</si>
  <si>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</si>
  <si>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</si>
  <si>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</si>
  <si>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</si>
  <si>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</si>
  <si>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</si>
  <si>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</si>
  <si>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</si>
  <si>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</si>
  <si>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</si>
  <si>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</si>
  <si>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</si>
  <si>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</si>
  <si>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</si>
  <si>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</si>
  <si>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</si>
  <si>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</si>
  <si>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</si>
  <si>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</si>
  <si>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</si>
  <si>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</si>
  <si>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</si>
  <si>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</si>
  <si>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</si>
  <si>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</si>
  <si>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</si>
  <si>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</si>
  <si>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</si>
  <si>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</si>
  <si>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</si>
  <si>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</si>
  <si>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</si>
  <si>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</si>
  <si>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</si>
  <si>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</si>
  <si>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</si>
  <si>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</si>
  <si>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</si>
  <si>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</si>
  <si>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</si>
  <si>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</si>
  <si>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</si>
  <si>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</si>
  <si>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</si>
  <si>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</si>
  <si>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</si>
  <si>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</si>
  <si>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</si>
  <si>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</si>
  <si>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</si>
  <si>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</si>
  <si>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</si>
  <si>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</si>
  <si>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</si>
  <si>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</si>
  <si>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</si>
  <si>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</si>
  <si>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</si>
  <si>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</si>
  <si>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</si>
  <si>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</si>
  <si>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</si>
  <si>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</si>
  <si>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</si>
  <si>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</si>
  <si>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</si>
  <si>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</si>
  <si>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</si>
  <si>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</si>
  <si>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</si>
  <si>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</si>
  <si>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</si>
  <si>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</si>
  <si>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</si>
  <si>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</si>
  <si>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</si>
  <si>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</si>
  <si>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</si>
  <si>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</si>
  <si>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</si>
  <si>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</si>
  <si>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</si>
  <si>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</si>
  <si>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</si>
  <si>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</si>
  <si>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</si>
  <si>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</si>
  <si>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</si>
  <si>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</si>
  <si>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</si>
  <si>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</si>
  <si>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</si>
  <si>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</si>
  <si>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</si>
  <si>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</si>
  <si>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</si>
  <si>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</si>
  <si>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</si>
  <si>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</si>
  <si>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</si>
  <si>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</si>
  <si>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</si>
  <si>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</si>
  <si>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</si>
  <si>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</si>
  <si>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</si>
  <si>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</si>
  <si>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</si>
  <si>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</si>
  <si>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</si>
  <si>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</si>
  <si>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</si>
  <si>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</si>
  <si>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</si>
  <si>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</si>
  <si>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</si>
  <si>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</si>
  <si>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</si>
  <si>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</si>
  <si>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</si>
  <si>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</si>
  <si>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</si>
  <si>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</si>
  <si>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</si>
  <si>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</si>
  <si>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</si>
  <si>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</si>
  <si>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</si>
  <si>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</si>
  <si>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</si>
  <si>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</si>
  <si>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</si>
  <si>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</si>
  <si>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</si>
  <si>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</si>
  <si>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</si>
  <si>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</si>
  <si>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</si>
  <si>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</si>
  <si>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</si>
  <si>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</si>
  <si>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</si>
  <si>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</si>
  <si>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</si>
  <si>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</si>
  <si>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</si>
  <si>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</si>
  <si>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</si>
  <si>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</si>
  <si>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</si>
  <si>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</si>
  <si>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</si>
  <si>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</si>
  <si>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</si>
  <si>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</si>
  <si>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</si>
  <si>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</si>
  <si>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</si>
  <si>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</si>
  <si>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</si>
  <si>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</si>
  <si>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</si>
  <si>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</si>
  <si>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</si>
  <si>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</si>
  <si>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</si>
  <si>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</si>
  <si>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</si>
  <si>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</si>
  <si>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</si>
  <si>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</si>
  <si>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</si>
  <si>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</si>
  <si>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</si>
  <si>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</si>
  <si>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</si>
  <si>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</si>
  <si>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</si>
  <si>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</si>
  <si>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</si>
  <si>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</si>
  <si>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</si>
  <si>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</si>
  <si>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</si>
  <si>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</si>
  <si>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</si>
  <si>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</si>
  <si>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</si>
  <si>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</si>
  <si>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</si>
  <si>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</si>
  <si>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</si>
  <si>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</si>
  <si>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</si>
  <si>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</si>
  <si>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</si>
  <si>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</si>
  <si>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</si>
  <si>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</si>
  <si>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</si>
  <si>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</si>
  <si>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</si>
  <si>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</si>
  <si>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</si>
  <si>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</si>
  <si>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</si>
  <si>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</si>
  <si>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</si>
  <si>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</si>
  <si>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</si>
  <si>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</si>
  <si>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</si>
  <si>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</si>
  <si>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</si>
  <si>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</si>
  <si>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</si>
  <si>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</si>
  <si>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</si>
  <si>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</si>
  <si>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</si>
  <si>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</si>
  <si>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</si>
  <si>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</si>
  <si>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</si>
  <si>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</si>
  <si>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</si>
  <si>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</si>
  <si>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</si>
  <si>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</si>
  <si>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</si>
  <si>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</si>
  <si>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</si>
  <si>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</si>
  <si>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</si>
  <si>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</si>
  <si>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</si>
  <si>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</si>
  <si>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</si>
  <si>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</si>
  <si>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</si>
  <si>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</si>
  <si>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</si>
  <si>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</si>
  <si>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</si>
  <si>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</si>
  <si>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</si>
  <si>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</si>
  <si>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</si>
  <si>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</si>
  <si>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</si>
  <si>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</si>
  <si>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</si>
  <si>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</si>
  <si>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</si>
  <si>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</si>
  <si>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</si>
  <si>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</si>
  <si>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</si>
  <si>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</si>
  <si>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</si>
  <si>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</si>
  <si>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</si>
  <si>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</si>
  <si>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</si>
  <si>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</si>
  <si>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</si>
  <si>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</si>
  <si>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</si>
  <si>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</si>
  <si>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</si>
  <si>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</si>
  <si>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</si>
  <si>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</si>
  <si>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</si>
  <si>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</si>
  <si>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</si>
  <si>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</si>
  <si>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</si>
  <si>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</si>
  <si>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</si>
  <si>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</si>
  <si>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</si>
  <si>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</si>
  <si>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</si>
  <si>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</si>
  <si>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</si>
  <si>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</si>
  <si>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</si>
  <si>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</si>
  <si>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</si>
  <si>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</si>
  <si>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</si>
  <si>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</si>
  <si>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</si>
  <si>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</si>
  <si>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</si>
  <si>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</si>
  <si>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</si>
  <si>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</si>
  <si>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</si>
  <si>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</si>
  <si>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</si>
  <si>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</si>
  <si>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</si>
  <si>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</si>
  <si>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</si>
  <si>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</si>
  <si>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</si>
  <si>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</si>
  <si>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</si>
  <si>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</si>
  <si>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</si>
  <si>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</si>
  <si>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</si>
  <si>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</si>
  <si>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</si>
  <si>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</si>
  <si>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</si>
  <si>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</si>
  <si>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</si>
  <si>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</si>
  <si>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</si>
  <si>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</si>
  <si>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</si>
  <si>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</si>
  <si>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</si>
  <si>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</si>
  <si>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</si>
  <si>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</si>
  <si>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</si>
  <si>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</si>
  <si>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</si>
  <si>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</si>
  <si>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</si>
  <si>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</si>
  <si>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</si>
  <si>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</si>
  <si>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</si>
  <si>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</si>
  <si>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</si>
  <si>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</si>
  <si>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</si>
  <si>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</si>
  <si>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</si>
  <si>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</si>
  <si>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</si>
  <si>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</si>
  <si>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</si>
  <si>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</si>
  <si>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</si>
  <si>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</si>
  <si>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</si>
  <si>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</si>
  <si>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</si>
  <si>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</si>
  <si>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</si>
  <si>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</si>
  <si>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</si>
  <si>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</si>
  <si>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</si>
  <si>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</si>
  <si>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</si>
  <si>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</si>
  <si>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</si>
  <si>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</si>
  <si>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</si>
  <si>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</si>
  <si>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</si>
  <si>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</si>
  <si>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</si>
  <si>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</si>
  <si>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</si>
  <si>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</si>
  <si>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</si>
  <si>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</si>
  <si>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</si>
  <si>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</si>
  <si>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</si>
  <si>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</si>
  <si>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</si>
  <si>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</si>
  <si>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</si>
  <si>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</si>
  <si>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</si>
  <si>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</si>
  <si>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</si>
  <si>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</si>
  <si>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</si>
  <si>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</si>
  <si>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</si>
  <si>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</si>
  <si>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</si>
  <si>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</si>
  <si>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</si>
  <si>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</si>
  <si>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</si>
  <si>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</si>
  <si>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</si>
  <si>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</si>
  <si>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</si>
  <si>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</si>
  <si>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</si>
  <si>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</si>
  <si>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</si>
  <si>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</si>
  <si>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</si>
  <si>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</si>
  <si>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</si>
  <si>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</si>
  <si>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</si>
  <si>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</si>
  <si>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</si>
  <si>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</si>
  <si>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</si>
  <si>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</si>
  <si>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</si>
  <si>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</si>
  <si>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</si>
  <si>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</si>
  <si>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</si>
  <si>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</si>
  <si>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</si>
  <si>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</si>
  <si>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</si>
  <si>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</si>
  <si>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</si>
  <si>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</si>
  <si>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</si>
  <si>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</si>
  <si>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</si>
  <si>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</si>
  <si>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</si>
  <si>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</si>
  <si>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</si>
  <si>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</si>
  <si>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</si>
  <si>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</si>
  <si>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</si>
  <si>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</si>
  <si>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</si>
  <si>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</si>
  <si>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</si>
  <si>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</si>
  <si>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</si>
  <si>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</si>
  <si>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</si>
  <si>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</si>
  <si>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</si>
  <si>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</si>
  <si>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</si>
  <si>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</si>
  <si>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</si>
  <si>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</si>
  <si>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</si>
  <si>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</si>
  <si>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</si>
  <si>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</si>
  <si>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</si>
  <si>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</si>
  <si>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</si>
  <si>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</si>
  <si>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</si>
  <si>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</si>
  <si>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</si>
  <si>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</si>
  <si>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</si>
  <si>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</si>
  <si>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</si>
  <si>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</si>
  <si>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</si>
  <si>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</si>
  <si>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</si>
  <si>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</si>
  <si>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</si>
  <si>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</si>
  <si>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</si>
  <si>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</si>
  <si>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</si>
  <si>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</si>
  <si>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</si>
  <si>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</si>
  <si>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</si>
  <si>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</si>
  <si>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</si>
  <si>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</si>
  <si>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</si>
  <si>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</si>
  <si>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</si>
  <si>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</si>
  <si>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</si>
  <si>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</si>
  <si>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</si>
  <si>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</si>
  <si>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</si>
  <si>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</si>
  <si>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</si>
  <si>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</si>
  <si>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</si>
  <si>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</si>
  <si>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</si>
  <si>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</si>
  <si>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</si>
  <si>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</si>
  <si>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</si>
  <si>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</si>
  <si>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</si>
  <si>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</si>
  <si>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</si>
  <si>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</si>
  <si>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</si>
  <si>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</si>
  <si>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</si>
  <si>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</si>
  <si>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</si>
  <si>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</si>
  <si>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</si>
  <si>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</si>
  <si>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</si>
  <si>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</si>
  <si>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</si>
  <si>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</si>
  <si>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</si>
  <si>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</si>
  <si>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</si>
  <si>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</si>
  <si>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</si>
  <si>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</si>
  <si>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</si>
  <si>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</si>
  <si>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</si>
  <si>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</si>
  <si>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</si>
  <si>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</si>
  <si>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</si>
  <si>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</si>
  <si>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</si>
  <si>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</si>
  <si>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</si>
  <si>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</si>
  <si>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</si>
  <si>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</si>
  <si>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</si>
  <si>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</si>
  <si>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</si>
  <si>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</si>
  <si>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</si>
  <si>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</si>
  <si>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</si>
  <si>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</si>
  <si>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</si>
  <si>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</si>
  <si>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</si>
  <si>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</si>
  <si>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</si>
  <si>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</si>
  <si>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</si>
  <si>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</si>
  <si>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</si>
  <si>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</si>
  <si>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</si>
  <si>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</si>
  <si>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</si>
  <si>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</si>
  <si>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</si>
  <si>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</si>
  <si>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</si>
  <si>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</si>
  <si>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</si>
  <si>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</si>
  <si>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</si>
  <si>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</si>
  <si>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</si>
  <si>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</si>
  <si>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</si>
  <si>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</si>
  <si>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</si>
  <si>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</si>
  <si>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</si>
  <si>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</si>
  <si>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</si>
  <si>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</si>
  <si>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</si>
  <si>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</si>
  <si>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</si>
  <si>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</si>
  <si>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</si>
  <si>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</si>
  <si>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</si>
  <si>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</si>
  <si>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</si>
  <si>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</si>
  <si>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</si>
  <si>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</si>
  <si>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</si>
  <si>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</si>
  <si>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</si>
  <si>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</si>
  <si>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</si>
  <si>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</si>
  <si>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</si>
  <si>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</si>
  <si>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</si>
  <si>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</si>
  <si>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</si>
  <si>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</si>
  <si>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</si>
  <si>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</si>
  <si>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</si>
  <si>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</si>
  <si>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</si>
  <si>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</si>
  <si>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</si>
  <si>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</si>
  <si>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</si>
  <si>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</si>
  <si>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</si>
  <si>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</si>
  <si>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</si>
  <si>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</si>
  <si>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</si>
  <si>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</si>
  <si>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</si>
  <si>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</si>
  <si>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</si>
  <si>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</si>
  <si>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</si>
  <si>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</si>
  <si>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</si>
  <si>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</si>
  <si>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</si>
  <si>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</si>
  <si>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</si>
  <si>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</si>
  <si>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</si>
  <si>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</si>
  <si>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</si>
  <si>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</si>
  <si>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</si>
  <si>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</si>
  <si>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</si>
  <si>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</si>
  <si>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</si>
  <si>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</si>
  <si>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</si>
  <si>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</si>
  <si>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</si>
  <si>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</si>
  <si>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</si>
  <si>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</si>
  <si>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</si>
  <si>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</si>
  <si>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</si>
  <si>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</si>
  <si>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</si>
  <si>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</si>
  <si>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</si>
  <si>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</si>
  <si>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</si>
  <si>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</si>
  <si>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</si>
  <si>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</si>
  <si>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</si>
  <si>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</si>
  <si>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</si>
  <si>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</si>
  <si>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</si>
  <si>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</si>
  <si>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</si>
  <si>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</si>
  <si>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</si>
  <si>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</si>
  <si>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</si>
  <si>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</si>
  <si>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</si>
  <si>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</si>
  <si>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</si>
  <si>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</si>
  <si>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</si>
  <si>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</si>
  <si>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</si>
  <si>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</si>
  <si>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</si>
  <si>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</si>
  <si>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</si>
  <si>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</si>
  <si>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</si>
  <si>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</si>
  <si>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</si>
  <si>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</si>
  <si>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</si>
  <si>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</si>
  <si>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</si>
  <si>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</si>
  <si>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</si>
  <si>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</si>
  <si>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</si>
  <si>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</si>
  <si>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</si>
  <si>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</si>
  <si>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</si>
  <si>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</si>
  <si>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</si>
  <si>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</si>
  <si>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</si>
  <si>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</si>
  <si>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</si>
  <si>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</si>
  <si>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</si>
  <si>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</si>
  <si>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</si>
  <si>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</si>
  <si>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</si>
  <si>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</si>
  <si>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</si>
  <si>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</si>
  <si>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</si>
  <si>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</si>
  <si>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</si>
  <si>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</si>
  <si>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</si>
  <si>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</si>
  <si>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</si>
  <si>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</si>
  <si>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</si>
  <si>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</si>
  <si>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</si>
  <si>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</si>
  <si>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</si>
  <si>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</si>
  <si>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</si>
  <si>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</si>
  <si>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</si>
  <si>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</si>
  <si>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</si>
  <si>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</si>
  <si>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</si>
  <si>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</si>
  <si>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</si>
  <si>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</si>
  <si>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</si>
  <si>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</si>
  <si>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</si>
  <si>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</si>
  <si>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</si>
  <si>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</si>
  <si>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</si>
  <si>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</si>
  <si>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</si>
  <si>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</si>
  <si>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</si>
  <si>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</si>
  <si>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</si>
  <si>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</si>
  <si>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</si>
  <si>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</si>
  <si>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</si>
  <si>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</si>
  <si>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</si>
  <si>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</si>
  <si>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</si>
  <si>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</si>
  <si>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</si>
  <si>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</si>
  <si>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</si>
  <si>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</si>
  <si>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</si>
  <si>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</si>
  <si>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</si>
  <si>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</si>
  <si>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</si>
  <si>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</si>
  <si>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</si>
  <si>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</si>
  <si>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</si>
  <si>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</si>
  <si>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</si>
  <si>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</si>
  <si>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</si>
  <si>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</si>
  <si>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</si>
  <si>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</si>
  <si>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</si>
  <si>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</si>
  <si>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</si>
  <si>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</si>
  <si>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</si>
  <si>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</si>
  <si>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</si>
  <si>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</si>
  <si>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</si>
  <si>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</si>
  <si>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</si>
  <si>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</si>
  <si>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</si>
  <si>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</si>
  <si>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</si>
  <si>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</si>
  <si>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</si>
  <si>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</si>
  <si>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</si>
  <si>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</si>
  <si>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</si>
  <si>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</si>
  <si>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</si>
  <si>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</si>
  <si>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</si>
  <si>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</si>
  <si>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</si>
  <si>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</si>
  <si>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</si>
  <si>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</si>
  <si>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</si>
  <si>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</si>
  <si>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</si>
  <si>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</si>
  <si>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</si>
  <si>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</si>
  <si>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</si>
  <si>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</si>
  <si>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</si>
  <si>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</si>
  <si>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</si>
  <si>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</si>
  <si>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</si>
  <si>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</si>
  <si>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</si>
  <si>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</si>
  <si>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</si>
  <si>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</si>
  <si>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</si>
  <si>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</si>
  <si>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</si>
  <si>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</si>
  <si>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</si>
  <si>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</si>
  <si>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</si>
  <si>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</si>
  <si>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</si>
  <si>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</si>
  <si>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</si>
  <si>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</si>
  <si>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</si>
  <si>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</si>
  <si>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</si>
  <si>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</si>
  <si>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</si>
  <si>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</si>
  <si>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</si>
  <si>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</si>
  <si>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</si>
  <si>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</si>
  <si>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</si>
  <si>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</si>
  <si>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</si>
  <si>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</si>
  <si>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</si>
  <si>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</si>
  <si>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</si>
  <si>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</si>
  <si>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</si>
  <si>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</si>
  <si>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</si>
  <si>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</si>
  <si>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</si>
  <si>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</si>
  <si>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</si>
  <si>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</si>
  <si>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</si>
  <si>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</si>
  <si>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</si>
  <si>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</si>
  <si>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</si>
  <si>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</si>
  <si>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</si>
  <si>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</si>
  <si>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</si>
  <si>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</si>
  <si>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</si>
  <si>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</si>
  <si>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</si>
  <si>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</si>
  <si>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</si>
  <si>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</si>
  <si>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</si>
  <si>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</si>
  <si>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</si>
  <si>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</si>
  <si>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</si>
  <si>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</si>
  <si>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</si>
  <si>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</si>
  <si>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</si>
  <si>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</si>
  <si>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</si>
  <si>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</si>
  <si>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</si>
  <si>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</si>
  <si>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</si>
  <si>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</si>
  <si>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</si>
  <si>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</si>
  <si>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</si>
  <si>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</si>
  <si>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</si>
  <si>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</si>
  <si>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</si>
  <si>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</si>
  <si>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</si>
  <si>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</si>
  <si>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</si>
  <si>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</si>
  <si>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</si>
  <si>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</si>
  <si>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</si>
  <si>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</si>
  <si>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</si>
  <si>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</si>
  <si>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</si>
  <si>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</si>
  <si>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</si>
  <si>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</si>
  <si>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</si>
  <si>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</si>
  <si>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</si>
  <si>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</si>
  <si>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</si>
  <si>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</si>
  <si>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</si>
  <si>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</si>
  <si>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</si>
  <si>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</si>
  <si>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</si>
  <si>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</si>
  <si>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</si>
  <si>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</si>
  <si>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</si>
  <si>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</si>
  <si>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</si>
  <si>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</si>
  <si>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</si>
  <si>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</si>
  <si>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</si>
  <si>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</si>
  <si>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</si>
  <si>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</si>
  <si>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</si>
  <si>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</si>
  <si>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</si>
  <si>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</si>
  <si>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</si>
  <si>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</si>
  <si>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</si>
  <si>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</si>
  <si>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</si>
  <si>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</si>
  <si>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</si>
  <si>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</si>
  <si>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</si>
  <si>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</si>
  <si>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</si>
  <si>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</si>
  <si>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</si>
  <si>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</si>
  <si>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</si>
  <si>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</si>
  <si>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</si>
  <si>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</si>
  <si>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</si>
  <si>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</si>
  <si>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</si>
  <si>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</si>
  <si>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</si>
  <si>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</si>
  <si>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</si>
  <si>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</si>
  <si>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</si>
  <si>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</si>
  <si>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</si>
  <si>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</si>
  <si>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</si>
  <si>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</si>
  <si>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</si>
  <si>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</si>
  <si>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</si>
  <si>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</si>
  <si>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</si>
  <si>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</si>
  <si>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</si>
  <si>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</si>
  <si>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</si>
  <si>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</si>
  <si>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</si>
  <si>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</si>
  <si>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</si>
  <si>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</si>
  <si>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</si>
  <si>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</si>
  <si>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</si>
  <si>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</si>
  <si>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</si>
  <si>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</si>
  <si>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</si>
  <si>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</si>
  <si>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</si>
  <si>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</si>
  <si>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</si>
  <si>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</si>
  <si>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</si>
  <si>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</si>
  <si>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</si>
  <si>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</si>
  <si>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</si>
  <si>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</si>
  <si>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</si>
  <si>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</si>
  <si>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</si>
  <si>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</si>
  <si>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</si>
  <si>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</si>
  <si>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</si>
  <si>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</si>
  <si>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</si>
  <si>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</si>
  <si>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</si>
  <si>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</si>
  <si>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</si>
  <si>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</si>
  <si>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</si>
  <si>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</si>
  <si>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</si>
  <si>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</si>
  <si>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</si>
  <si>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</si>
  <si>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</si>
  <si>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</si>
  <si>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</si>
  <si>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</si>
  <si>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</si>
  <si>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</si>
  <si>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</si>
  <si>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</si>
  <si>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</si>
  <si>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</si>
  <si>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</si>
  <si>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</si>
  <si>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</si>
  <si>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</si>
  <si>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</si>
  <si>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</si>
  <si>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</si>
  <si>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</si>
  <si>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</si>
  <si>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</si>
  <si>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</si>
  <si>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</si>
  <si>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</si>
  <si>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</si>
  <si>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</si>
  <si>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</si>
  <si>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</si>
  <si>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</si>
  <si>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</si>
  <si>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</si>
  <si>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</si>
  <si>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</si>
  <si>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</si>
  <si>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</si>
  <si>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</si>
  <si>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</si>
  <si>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</si>
  <si>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</si>
  <si>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</si>
  <si>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</si>
  <si>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</si>
  <si>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</si>
  <si>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</si>
  <si>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</si>
  <si>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</si>
  <si>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</si>
  <si>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</si>
  <si>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</si>
  <si>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</si>
  <si>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</si>
  <si>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</si>
  <si>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</si>
  <si>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</si>
  <si>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</si>
  <si>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</si>
  <si>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</si>
  <si>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</si>
  <si>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</si>
  <si>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</si>
  <si>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</si>
  <si>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</si>
  <si>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</si>
  <si>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</si>
  <si>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</si>
  <si>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</si>
  <si>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</si>
  <si>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</si>
  <si>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</si>
  <si>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</si>
  <si>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</si>
  <si>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</si>
  <si>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</si>
  <si>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</si>
  <si>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</si>
  <si>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</si>
  <si>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</si>
  <si>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</si>
  <si>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</si>
  <si>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</si>
  <si>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</si>
  <si>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</si>
  <si>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</si>
  <si>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</si>
  <si>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</si>
  <si>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</si>
  <si>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</si>
  <si>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</si>
  <si>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</si>
  <si>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</si>
  <si>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</si>
  <si>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</si>
  <si>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</si>
  <si>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</si>
  <si>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</si>
  <si>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</si>
  <si>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</si>
  <si>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</si>
  <si>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</si>
  <si>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</si>
  <si>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</si>
  <si>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</si>
  <si>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</si>
  <si>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</si>
  <si>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</si>
  <si>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</si>
  <si>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</si>
  <si>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</si>
  <si>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</si>
  <si>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</si>
  <si>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</si>
  <si>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</si>
  <si>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</si>
  <si>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</si>
  <si>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</si>
  <si>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</si>
  <si>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</si>
  <si>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</si>
  <si>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</si>
  <si>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</si>
  <si>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</si>
  <si>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</si>
  <si>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</si>
  <si>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</si>
  <si>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</si>
  <si>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</si>
  <si>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</si>
  <si>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</si>
  <si>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</si>
  <si>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</si>
  <si>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</si>
  <si>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</si>
  <si>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</si>
  <si>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</si>
  <si>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</si>
  <si>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</si>
  <si>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</si>
  <si>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</si>
  <si>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</si>
  <si>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</si>
  <si>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</si>
  <si>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</si>
  <si>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</si>
  <si>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</si>
  <si>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</si>
  <si>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</si>
  <si>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</si>
  <si>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</si>
  <si>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</si>
  <si>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</si>
  <si>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</si>
  <si>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</si>
  <si>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</si>
  <si>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</si>
  <si>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</si>
  <si>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</si>
  <si>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</si>
  <si>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</si>
  <si>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</si>
  <si>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</si>
  <si>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</si>
  <si>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</si>
  <si>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</si>
  <si>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</si>
  <si>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</si>
  <si>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</si>
  <si>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</si>
  <si>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</si>
  <si>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</si>
  <si>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</si>
  <si>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</si>
  <si>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</si>
  <si>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</si>
  <si>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</si>
  <si>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</si>
  <si>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</si>
  <si>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</si>
  <si>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</si>
  <si>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</si>
  <si>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</si>
  <si>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</si>
  <si>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</si>
  <si>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</si>
  <si>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</si>
  <si>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</si>
  <si>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</si>
  <si>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</si>
  <si>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</si>
  <si>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</si>
  <si>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</si>
  <si>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</si>
  <si>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</si>
  <si>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</si>
  <si>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</si>
  <si>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</si>
  <si>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</si>
  <si>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</si>
  <si>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</si>
  <si>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</si>
  <si>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</si>
  <si>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</si>
  <si>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</si>
  <si>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</si>
  <si>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</si>
  <si>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</si>
  <si>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</si>
  <si>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</si>
  <si>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</si>
  <si>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</si>
  <si>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</si>
  <si>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</si>
  <si>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</si>
  <si>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</si>
  <si>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</si>
  <si>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</si>
  <si>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</si>
  <si>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</si>
  <si>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</si>
  <si>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</si>
  <si>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</si>
  <si>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</si>
  <si>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</si>
  <si>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</si>
  <si>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</si>
  <si>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</si>
  <si>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</si>
  <si>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</si>
  <si>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</si>
  <si>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</si>
  <si>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</si>
  <si>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</si>
  <si>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</si>
  <si>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</si>
  <si>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</si>
  <si>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</si>
  <si>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</si>
  <si>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</si>
  <si>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</si>
  <si>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</si>
  <si>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</si>
  <si>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</si>
  <si>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</si>
  <si>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</si>
  <si>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</si>
  <si>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</si>
  <si>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</si>
  <si>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</si>
  <si>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</si>
  <si>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</si>
  <si>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</si>
  <si>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</si>
  <si>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</si>
  <si>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</si>
  <si>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</si>
  <si>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</si>
  <si>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</si>
  <si>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</si>
  <si>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</si>
  <si>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</si>
  <si>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</si>
  <si>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</si>
  <si>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</si>
  <si>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</si>
  <si>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</si>
  <si>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</si>
  <si>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</si>
  <si>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</si>
  <si>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</si>
  <si>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</si>
  <si>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</si>
  <si>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</si>
  <si>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</si>
  <si>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</si>
  <si>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</si>
  <si>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</si>
  <si>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</si>
  <si>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</si>
  <si>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</si>
  <si>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</si>
  <si>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</si>
  <si>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</si>
  <si>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</si>
  <si>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</si>
  <si>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</si>
  <si>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</si>
  <si>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</si>
  <si>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</si>
  <si>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</si>
  <si>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</si>
  <si>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</si>
  <si>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</si>
  <si>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</si>
  <si>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</si>
  <si>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</si>
  <si>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</si>
  <si>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</si>
  <si>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</si>
  <si>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</si>
  <si>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</si>
  <si>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</si>
  <si>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</si>
  <si>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</si>
  <si>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</si>
  <si>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</si>
  <si>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</si>
  <si>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</si>
  <si>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</si>
  <si>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</si>
  <si>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</si>
  <si>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</si>
  <si>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</si>
  <si>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</si>
  <si>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</si>
  <si>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</si>
  <si>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</si>
  <si>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</si>
  <si>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</si>
  <si>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</si>
  <si>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</si>
  <si>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</si>
  <si>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</si>
  <si>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</si>
  <si>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</si>
  <si>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</si>
  <si>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</si>
  <si>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</si>
  <si>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</si>
  <si>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</si>
  <si>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</si>
  <si>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</si>
  <si>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</si>
  <si>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</si>
  <si>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</si>
  <si>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</si>
  <si>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</si>
  <si>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</si>
  <si>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</si>
  <si>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</si>
  <si>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</si>
  <si>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</si>
  <si>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</si>
  <si>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</si>
  <si>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</si>
  <si>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</si>
  <si>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</si>
  <si>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</si>
  <si>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</si>
  <si>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</si>
  <si>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</si>
  <si>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</si>
  <si>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</si>
  <si>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</si>
  <si>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</si>
  <si>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</si>
  <si>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</si>
  <si>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</si>
  <si>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</si>
  <si>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</si>
  <si>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</si>
  <si>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</si>
  <si>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</si>
  <si>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</si>
  <si>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</si>
  <si>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</si>
  <si>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</si>
  <si>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</si>
  <si>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</si>
  <si>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</si>
  <si>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</si>
  <si>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</si>
  <si>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</si>
  <si>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</si>
  <si>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</si>
  <si>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</si>
  <si>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</si>
  <si>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</si>
  <si>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</si>
  <si>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</si>
  <si>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</si>
  <si>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</si>
  <si>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</si>
  <si>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</si>
  <si>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</si>
  <si>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</si>
  <si>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</si>
  <si>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</si>
  <si>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</si>
  <si>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</si>
  <si>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</si>
  <si>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</si>
  <si>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</si>
  <si>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</si>
  <si>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</si>
  <si>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</si>
  <si>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</si>
  <si>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</si>
  <si>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</si>
  <si>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</si>
  <si>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</si>
  <si>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</si>
  <si>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</si>
  <si>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</si>
  <si>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</si>
  <si>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</si>
  <si>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</si>
  <si>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</si>
  <si>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</si>
  <si>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</si>
  <si>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</si>
  <si>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</si>
  <si>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</si>
  <si>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</si>
  <si>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</si>
  <si>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</si>
  <si>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</si>
  <si>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</si>
  <si>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</si>
  <si>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</si>
  <si>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</si>
  <si>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</si>
  <si>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</si>
  <si>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</si>
  <si>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</si>
  <si>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</si>
  <si>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</si>
  <si>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</si>
  <si>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</si>
  <si>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</si>
  <si>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</si>
  <si>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</si>
  <si>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</si>
  <si>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</si>
  <si>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</si>
  <si>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</si>
  <si>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</si>
  <si>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</si>
  <si>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</si>
  <si>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</si>
  <si>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</si>
  <si>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</si>
  <si>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</si>
  <si>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</si>
  <si>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</si>
  <si>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</si>
  <si>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</si>
  <si>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</si>
  <si>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</si>
  <si>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</si>
  <si>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</si>
  <si>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</si>
  <si>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</si>
  <si>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</si>
  <si>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</si>
  <si>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</si>
  <si>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</si>
  <si>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</si>
  <si>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</si>
  <si>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</si>
  <si>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</si>
  <si>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</si>
  <si>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</si>
  <si>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</si>
  <si>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</si>
  <si>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</si>
  <si>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</si>
  <si>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</si>
  <si>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</si>
  <si>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</si>
  <si>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</si>
  <si>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</si>
  <si>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</si>
  <si>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</si>
  <si>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</si>
  <si>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</si>
  <si>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</si>
  <si>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</si>
  <si>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</si>
  <si>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</si>
  <si>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</si>
  <si>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</si>
  <si>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</si>
  <si>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</si>
  <si>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</si>
  <si>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</si>
  <si>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</si>
  <si>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</si>
  <si>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</si>
  <si>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</si>
  <si>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</si>
  <si>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</si>
  <si>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</si>
  <si>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</si>
  <si>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</si>
  <si>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</si>
  <si>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</si>
  <si>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</si>
  <si>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</si>
  <si>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</si>
  <si>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</si>
  <si>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</si>
  <si>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</si>
  <si>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</si>
  <si>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</si>
  <si>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</si>
  <si>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</si>
  <si>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</si>
  <si>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</si>
  <si>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</si>
  <si>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</si>
  <si>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</si>
  <si>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</si>
  <si>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</si>
  <si>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</si>
  <si>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</si>
  <si>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</si>
  <si>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</si>
  <si>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</si>
  <si>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</si>
  <si>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</si>
  <si>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</si>
  <si>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</si>
  <si>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</si>
  <si>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</si>
  <si>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</si>
  <si>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</si>
  <si>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</si>
  <si>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</si>
  <si>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</si>
  <si>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</si>
  <si>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</si>
  <si>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</si>
  <si>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</si>
  <si>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</si>
  <si>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</si>
  <si>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</si>
  <si>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</si>
  <si>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</si>
  <si>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</si>
  <si>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</si>
  <si>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</si>
  <si>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</si>
  <si>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</si>
  <si>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</si>
  <si>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</si>
  <si>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</si>
  <si>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</si>
  <si>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</si>
  <si>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</si>
  <si>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</si>
  <si>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</si>
  <si>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</si>
  <si>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</si>
  <si>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</si>
  <si>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</si>
  <si>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</si>
  <si>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</si>
  <si>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</si>
  <si>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</si>
  <si>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</si>
  <si>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</si>
  <si>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</si>
  <si>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</si>
  <si>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</si>
  <si>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</si>
  <si>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</si>
  <si>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</si>
  <si>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</si>
  <si>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</si>
  <si>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</si>
  <si>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</si>
  <si>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</si>
  <si>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</si>
  <si>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</si>
  <si>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</si>
  <si>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</si>
  <si>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</si>
  <si>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</si>
  <si>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</si>
  <si>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</si>
  <si>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</si>
  <si>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</si>
  <si>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</si>
  <si>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</si>
  <si>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</si>
  <si>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</si>
  <si>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</si>
  <si>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</si>
  <si>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</si>
  <si>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</si>
  <si>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</si>
  <si>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</si>
  <si>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</si>
  <si>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</si>
  <si>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</si>
  <si>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</si>
  <si>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</si>
  <si>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</si>
  <si>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</si>
  <si>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</si>
  <si>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</si>
  <si>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</si>
  <si>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</si>
  <si>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</si>
  <si>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</si>
  <si>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</si>
  <si>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</si>
  <si>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</si>
  <si>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</si>
  <si>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</si>
  <si>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</si>
  <si>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</si>
  <si>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</si>
  <si>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</si>
  <si>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</si>
  <si>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</si>
  <si>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</si>
  <si>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</si>
  <si>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</si>
  <si>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</si>
  <si>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</si>
  <si>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</si>
  <si>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</si>
  <si>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</si>
  <si>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</si>
  <si>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</si>
  <si>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</si>
  <si>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</si>
  <si>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</si>
  <si>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</si>
  <si>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</si>
  <si>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</si>
  <si>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</si>
  <si>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</si>
  <si>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</si>
  <si>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</si>
  <si>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</si>
  <si>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</si>
  <si>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</si>
  <si>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</si>
  <si>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</si>
  <si>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</si>
  <si>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</si>
  <si>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</si>
  <si>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</si>
  <si>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</si>
  <si>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</si>
  <si>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</si>
  <si>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</si>
  <si>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</si>
  <si>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</si>
  <si>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</si>
  <si>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</si>
  <si>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</si>
  <si>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</si>
  <si>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</si>
  <si>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</si>
  <si>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</si>
  <si>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</si>
  <si>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</si>
  <si>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</si>
  <si>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</si>
  <si>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</si>
  <si>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</si>
  <si>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</si>
  <si>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</si>
  <si>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</si>
  <si>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</si>
  <si>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</si>
  <si>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</si>
  <si>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</si>
  <si>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</si>
  <si>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</si>
  <si>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</si>
  <si>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</si>
  <si>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</si>
  <si>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</si>
  <si>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</si>
  <si>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</si>
  <si>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</si>
  <si>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</si>
  <si>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</si>
  <si>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</si>
  <si>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</si>
  <si>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</si>
  <si>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</si>
  <si>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</si>
  <si>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</si>
  <si>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</si>
  <si>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</si>
  <si>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</si>
  <si>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</si>
  <si>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</si>
  <si>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</si>
  <si>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</si>
  <si>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</si>
  <si>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</si>
  <si>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</si>
  <si>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</si>
  <si>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</si>
  <si>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</si>
  <si>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</si>
  <si>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</si>
  <si>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</si>
  <si>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</si>
  <si>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</si>
  <si>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</si>
  <si>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</si>
  <si>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</si>
  <si>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</si>
  <si>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</si>
  <si>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</si>
  <si>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</si>
  <si>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</si>
  <si>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</si>
  <si>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</si>
  <si>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</si>
  <si>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</si>
  <si>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</si>
  <si>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</si>
  <si>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</si>
  <si>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</si>
  <si>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</si>
  <si>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</si>
  <si>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</si>
  <si>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</si>
  <si>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</si>
  <si>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</si>
  <si>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</si>
  <si>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</si>
  <si>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</si>
  <si>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</si>
  <si>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</si>
  <si>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</si>
  <si>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</si>
  <si>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</si>
  <si>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</si>
  <si>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</si>
  <si>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</si>
  <si>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</si>
  <si>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</si>
  <si>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</si>
  <si>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</si>
  <si>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</si>
  <si>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</si>
  <si>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</si>
  <si>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</si>
  <si>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</si>
  <si>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</si>
  <si>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</si>
  <si>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</si>
  <si>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</si>
  <si>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</si>
  <si>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</si>
  <si>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</si>
  <si>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</si>
  <si>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</si>
  <si>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</si>
  <si>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</si>
  <si>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</si>
  <si>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</si>
  <si>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</si>
  <si>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</si>
  <si>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</si>
  <si>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</si>
  <si>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</si>
  <si>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</si>
  <si>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</si>
  <si>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</si>
  <si>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</si>
  <si>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</si>
  <si>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</si>
  <si>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</si>
  <si>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</si>
  <si>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</si>
  <si>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</si>
  <si>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</si>
  <si>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</si>
  <si>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</si>
  <si>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</si>
  <si>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</si>
  <si>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</si>
  <si>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</si>
  <si>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</si>
  <si>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</si>
  <si>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</si>
  <si>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</si>
  <si>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</si>
  <si>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</si>
  <si>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</si>
  <si>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</si>
  <si>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</si>
  <si>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</si>
  <si>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</si>
  <si>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</si>
  <si>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</si>
  <si>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</si>
  <si>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</si>
  <si>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</si>
  <si>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</si>
  <si>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</si>
  <si>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</si>
  <si>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</si>
  <si>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</si>
  <si>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</si>
  <si>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</si>
  <si>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</si>
  <si>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</si>
  <si>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</si>
  <si>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</si>
  <si>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</si>
  <si>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</si>
  <si>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</si>
  <si>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</si>
  <si>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</si>
  <si>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</si>
  <si>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</si>
  <si>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</si>
  <si>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</si>
  <si>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</si>
  <si>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</si>
  <si>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</si>
  <si>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</si>
  <si>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</si>
  <si>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</si>
  <si>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</si>
  <si>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</si>
  <si>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</si>
  <si>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</si>
  <si>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</si>
  <si>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</si>
  <si>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</si>
  <si>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</si>
  <si>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</si>
  <si>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</si>
  <si>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</si>
  <si>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</si>
  <si>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</si>
  <si>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</si>
  <si>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</si>
  <si>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</si>
  <si>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</si>
  <si>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</si>
  <si>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</si>
  <si>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</si>
  <si>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</si>
  <si>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</si>
  <si>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</si>
  <si>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</si>
  <si>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</si>
  <si>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</si>
  <si>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</si>
  <si>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</si>
  <si>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</si>
  <si>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</si>
  <si>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</si>
  <si>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</si>
  <si>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</si>
  <si>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</si>
  <si>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</si>
  <si>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</si>
  <si>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</si>
  <si>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</si>
  <si>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</si>
  <si>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</si>
  <si>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</si>
  <si>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</si>
  <si>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</si>
  <si>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</si>
  <si>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</si>
  <si>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</si>
  <si>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</si>
  <si>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</si>
  <si>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</si>
  <si>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</si>
  <si>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</si>
  <si>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</si>
  <si>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</si>
  <si>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</si>
  <si>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</si>
  <si>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</si>
  <si>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</si>
  <si>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</si>
  <si>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</si>
  <si>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</si>
  <si>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</si>
  <si>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</si>
  <si>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</si>
  <si>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</si>
  <si>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</si>
  <si>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</si>
  <si>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</si>
  <si>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</si>
  <si>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</si>
  <si>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</si>
  <si>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</si>
  <si>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</si>
  <si>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</si>
  <si>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</si>
  <si>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</si>
  <si>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</si>
  <si>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</si>
  <si>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</si>
  <si>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</si>
  <si>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</si>
  <si>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</si>
  <si>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</si>
  <si>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</si>
  <si>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</si>
  <si>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</si>
  <si>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</si>
  <si>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</si>
  <si>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</si>
  <si>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</si>
  <si>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</si>
  <si>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</si>
  <si>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</si>
  <si>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</si>
  <si>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</si>
  <si>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</si>
  <si>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</si>
  <si>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</si>
  <si>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</si>
  <si>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</si>
  <si>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</si>
  <si>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</si>
  <si>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</si>
  <si>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</si>
  <si>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</si>
  <si>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</si>
  <si>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</si>
  <si>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</si>
  <si>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</si>
  <si>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</si>
  <si>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</si>
  <si>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</si>
  <si>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</si>
  <si>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</si>
  <si>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</si>
  <si>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</si>
  <si>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</si>
  <si>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</si>
  <si>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</si>
  <si>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</si>
  <si>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</si>
  <si>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</si>
  <si>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</si>
  <si>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</si>
  <si>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</si>
  <si>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</si>
  <si>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</si>
  <si>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</si>
  <si>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</si>
  <si>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</si>
  <si>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</si>
  <si>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</si>
  <si>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</si>
  <si>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</si>
  <si>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</si>
  <si>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</si>
  <si>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</si>
  <si>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</si>
  <si>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</si>
  <si>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</si>
  <si>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</si>
  <si>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</si>
  <si>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</si>
  <si>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</si>
  <si>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</si>
  <si>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</si>
  <si>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</si>
  <si>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</si>
  <si>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</si>
  <si>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</si>
  <si>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</si>
  <si>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</si>
  <si>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</si>
  <si>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</si>
  <si>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</si>
  <si>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</si>
  <si>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</si>
  <si>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</si>
  <si>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</si>
  <si>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</si>
  <si>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</si>
  <si>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</si>
  <si>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</si>
  <si>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</si>
  <si>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</si>
  <si>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</si>
  <si>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</si>
  <si>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</si>
  <si>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</si>
  <si>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</si>
  <si>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</si>
  <si>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</si>
  <si>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</si>
  <si>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</si>
  <si>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</si>
  <si>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</si>
  <si>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</si>
  <si>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</si>
  <si>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</si>
  <si>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</si>
  <si>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</si>
  <si>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</si>
  <si>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</si>
  <si>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</si>
  <si>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</si>
  <si>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</si>
  <si>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</si>
  <si>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</si>
  <si>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</si>
  <si>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</si>
  <si>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</si>
  <si>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</si>
  <si>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</si>
  <si>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</si>
  <si>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</si>
  <si>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</si>
  <si>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</si>
  <si>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</si>
  <si>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</si>
  <si>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</si>
  <si>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</si>
  <si>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</si>
  <si>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</si>
  <si>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</si>
  <si>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</si>
  <si>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</si>
  <si>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</si>
  <si>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</si>
  <si>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</si>
  <si>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</si>
  <si>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</si>
  <si>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</si>
  <si>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</si>
  <si>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</si>
  <si>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</si>
  <si>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</si>
  <si>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</si>
  <si>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</si>
  <si>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</si>
  <si>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</si>
  <si>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</si>
  <si>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</si>
  <si>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</si>
  <si>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</si>
  <si>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</si>
  <si>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</si>
  <si>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</si>
  <si>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</si>
  <si>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</si>
  <si>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</si>
  <si>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</si>
  <si>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</si>
  <si>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</si>
  <si>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</si>
  <si>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</si>
  <si>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</si>
  <si>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</si>
  <si>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</si>
  <si>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</si>
  <si>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</si>
  <si>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</si>
  <si>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</si>
  <si>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</si>
  <si>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</si>
  <si>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</si>
  <si>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</si>
  <si>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</si>
  <si>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</si>
  <si>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</si>
  <si>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</si>
  <si>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</si>
  <si>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</si>
  <si>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</si>
  <si>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</si>
  <si>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</si>
  <si>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</si>
  <si>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</si>
  <si>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</si>
  <si>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</si>
  <si>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</si>
  <si>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</si>
  <si>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</si>
  <si>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</si>
  <si>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</si>
  <si>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</si>
  <si>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</si>
  <si>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</si>
  <si>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</si>
  <si>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</si>
  <si>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</si>
  <si>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</si>
  <si>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</si>
  <si>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</si>
  <si>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</si>
  <si>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</si>
  <si>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</si>
  <si>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</si>
  <si>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</si>
  <si>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</si>
  <si>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</si>
  <si>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</si>
  <si>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</si>
  <si>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</si>
  <si>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</si>
  <si>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</si>
  <si>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</si>
  <si>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</si>
  <si>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</si>
  <si>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</si>
  <si>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</si>
  <si>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</si>
  <si>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</si>
  <si>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</si>
  <si>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</si>
  <si>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</si>
  <si>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</si>
  <si>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</si>
  <si>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</si>
  <si>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</si>
  <si>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</si>
  <si>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</si>
  <si>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</si>
  <si>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</si>
  <si>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</si>
  <si>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</si>
  <si>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</si>
  <si>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</si>
  <si>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</si>
  <si>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</si>
  <si>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</si>
  <si>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</si>
  <si>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</si>
  <si>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</si>
  <si>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</si>
  <si>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</si>
  <si>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</si>
  <si>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</si>
  <si>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</si>
  <si>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</si>
  <si>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</si>
  <si>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</si>
  <si>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</si>
  <si>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</si>
  <si>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</si>
  <si>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</si>
  <si>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</si>
  <si>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</si>
  <si>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</si>
  <si>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</si>
  <si>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</si>
  <si>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</si>
  <si>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</si>
  <si>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</si>
  <si>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</si>
  <si>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</si>
  <si>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</si>
  <si>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</si>
  <si>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</si>
  <si>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</si>
  <si>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</si>
  <si>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</si>
  <si>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</si>
  <si>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</si>
  <si>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</si>
  <si>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</si>
  <si>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</si>
  <si>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</si>
  <si>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</si>
  <si>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</si>
  <si>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</si>
  <si>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</si>
  <si>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</si>
  <si>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</si>
  <si>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</si>
  <si>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</si>
  <si>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</si>
  <si>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</si>
  <si>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</si>
  <si>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</si>
  <si>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</si>
  <si>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</si>
  <si>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</si>
  <si>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</si>
  <si>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</si>
  <si>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</si>
  <si>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</si>
  <si>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</si>
  <si>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</si>
  <si>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</si>
  <si>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</si>
  <si>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</si>
  <si>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</si>
  <si>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</si>
  <si>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</si>
  <si>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</si>
  <si>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</si>
  <si>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</si>
  <si>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</si>
  <si>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</si>
  <si>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</si>
  <si>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</si>
  <si>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</si>
  <si>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</si>
  <si>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</si>
  <si>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</si>
  <si>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</si>
  <si>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</si>
  <si>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</si>
  <si>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</si>
  <si>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</si>
  <si>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</si>
  <si>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</si>
  <si>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</si>
  <si>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</si>
  <si>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</si>
  <si>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</si>
  <si>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</si>
  <si>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</si>
  <si>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</si>
  <si>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</si>
  <si>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</si>
  <si>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</si>
  <si>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</si>
  <si>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</si>
  <si>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</si>
  <si>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</si>
  <si>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</si>
  <si>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</si>
  <si>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</si>
  <si>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</si>
  <si>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</si>
  <si>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</si>
  <si>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</si>
  <si>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</si>
  <si>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</si>
  <si>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</si>
  <si>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</si>
  <si>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</si>
  <si>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</si>
  <si>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</si>
  <si>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</si>
  <si>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</si>
  <si>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</si>
  <si>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</si>
  <si>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</si>
  <si>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</si>
  <si>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</si>
  <si>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</si>
  <si>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</si>
  <si>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</si>
  <si>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</si>
  <si>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</si>
  <si>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</si>
  <si>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</si>
  <si>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</si>
  <si>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</si>
  <si>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</si>
  <si>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</si>
  <si>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</si>
  <si>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</si>
  <si>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</si>
  <si>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</si>
  <si>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</si>
  <si>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</si>
  <si>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</si>
  <si>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</si>
  <si>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</si>
  <si>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</si>
  <si>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</si>
  <si>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</si>
  <si>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</si>
  <si>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</si>
  <si>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</si>
  <si>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</si>
  <si>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</si>
  <si>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</si>
  <si>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</si>
  <si>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</si>
  <si>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</si>
  <si>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</si>
  <si>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</si>
  <si>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</si>
  <si>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</si>
  <si>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</si>
  <si>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</si>
  <si>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</si>
  <si>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</si>
  <si>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</si>
  <si>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</si>
  <si>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</si>
  <si>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</si>
  <si>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</si>
  <si>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</si>
  <si>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</si>
  <si>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</si>
  <si>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</si>
  <si>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</si>
  <si>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</si>
  <si>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</si>
  <si>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</si>
  <si>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</si>
  <si>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</si>
  <si>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</si>
  <si>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</si>
  <si>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</si>
  <si>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</si>
  <si>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</si>
  <si>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</si>
  <si>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</si>
  <si>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</si>
  <si>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</si>
  <si>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</si>
  <si>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</si>
  <si>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</si>
  <si>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</si>
  <si>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</si>
  <si>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</si>
  <si>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</si>
  <si>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</si>
  <si>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</si>
  <si>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</si>
  <si>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</si>
  <si>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</si>
  <si>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</si>
  <si>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</si>
  <si>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</si>
  <si>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</si>
  <si>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</si>
  <si>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</si>
  <si>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</si>
  <si>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</si>
  <si>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</si>
  <si>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</si>
  <si>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</si>
  <si>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</si>
  <si>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</si>
  <si>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</si>
  <si>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</si>
  <si>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</si>
  <si>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</si>
  <si>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</si>
  <si>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</si>
  <si>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</si>
  <si>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</si>
  <si>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</si>
  <si>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</si>
  <si>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</si>
  <si>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</si>
  <si>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</si>
  <si>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</si>
  <si>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</si>
  <si>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</si>
  <si>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</si>
  <si>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</si>
  <si>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</si>
  <si>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</si>
  <si>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</si>
  <si>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</si>
  <si>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</si>
  <si>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</si>
  <si>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</si>
  <si>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</si>
  <si>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</si>
  <si>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</si>
  <si>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</si>
  <si>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</si>
  <si>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</si>
  <si>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</si>
  <si>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</si>
  <si>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</si>
  <si>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</si>
  <si>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</si>
  <si>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</si>
  <si>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</si>
  <si>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</si>
  <si>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</si>
  <si>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</si>
  <si>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</si>
  <si>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</si>
  <si>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</si>
  <si>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</si>
  <si>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</si>
  <si>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</si>
  <si>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</si>
  <si>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</si>
  <si>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</si>
  <si>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</si>
  <si>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</si>
  <si>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</si>
  <si>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</si>
  <si>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</si>
  <si>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</si>
  <si>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</si>
  <si>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</si>
  <si>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</si>
  <si>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</si>
  <si>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</si>
  <si>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</si>
  <si>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</si>
  <si>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</si>
  <si>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</si>
  <si>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</si>
  <si>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</si>
  <si>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</si>
  <si>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</si>
  <si>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</si>
  <si>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</si>
  <si>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</si>
  <si>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</si>
  <si>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</si>
  <si>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</si>
  <si>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</si>
  <si>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</si>
  <si>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</si>
  <si>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</si>
  <si>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</si>
  <si>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</si>
  <si>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</si>
  <si>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</si>
  <si>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</si>
  <si>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</si>
  <si>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</si>
  <si>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</si>
  <si>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</si>
  <si>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</si>
  <si>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</si>
  <si>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</si>
  <si>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</si>
  <si>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</si>
  <si>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</si>
  <si>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</si>
  <si>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</si>
  <si>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</si>
  <si>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</si>
  <si>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</si>
  <si>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</si>
  <si>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</si>
  <si>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</si>
  <si>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</si>
  <si>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</si>
  <si>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</si>
  <si>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</si>
  <si>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</si>
  <si>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</si>
  <si>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</si>
  <si>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</si>
  <si>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</si>
  <si>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</si>
  <si>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</si>
  <si>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</si>
  <si>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</si>
  <si>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</si>
  <si>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</si>
  <si>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</si>
  <si>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</si>
  <si>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</si>
  <si>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</si>
  <si>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</si>
  <si>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</si>
  <si>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</si>
  <si>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</si>
  <si>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</si>
  <si>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</si>
  <si>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</si>
  <si>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</si>
  <si>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</si>
  <si>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</si>
  <si>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</si>
  <si>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</si>
  <si>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</si>
  <si>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</si>
  <si>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</si>
  <si>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</si>
  <si>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</si>
  <si>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</si>
  <si>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</si>
  <si>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</si>
  <si>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</si>
  <si>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</si>
  <si>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</si>
  <si>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</si>
  <si>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</si>
  <si>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</si>
  <si>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</si>
  <si>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</si>
  <si>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</si>
  <si>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</si>
  <si>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</si>
  <si>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</si>
  <si>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</si>
  <si>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</si>
  <si>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</si>
  <si>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</si>
  <si>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</si>
  <si>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</si>
  <si>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</si>
  <si>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</si>
  <si>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</si>
  <si>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</si>
  <si>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</si>
  <si>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</si>
  <si>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</si>
  <si>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</si>
  <si>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</si>
  <si>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</si>
  <si>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</si>
  <si>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</si>
  <si>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</si>
  <si>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</si>
  <si>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</si>
  <si>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</si>
  <si>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</si>
  <si>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</si>
  <si>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</si>
  <si>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</si>
  <si>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</si>
  <si>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</si>
  <si>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</si>
  <si>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</si>
  <si>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</si>
  <si>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</si>
  <si>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</si>
  <si>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</si>
  <si>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</si>
  <si>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</si>
  <si>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</si>
  <si>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</si>
  <si>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</si>
  <si>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</si>
  <si>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</si>
  <si>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</si>
  <si>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</si>
  <si>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</si>
  <si>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</si>
  <si>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</si>
  <si>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</si>
  <si>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</si>
  <si>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</si>
  <si>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</si>
  <si>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</si>
  <si>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</si>
  <si>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</si>
  <si>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</si>
  <si>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</si>
  <si>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</si>
  <si>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</si>
  <si>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</si>
  <si>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</si>
  <si>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</si>
  <si>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</si>
  <si>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</si>
  <si>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</si>
  <si>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</si>
  <si>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</si>
  <si>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</si>
  <si>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</si>
  <si>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</si>
  <si>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</si>
  <si>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</si>
  <si>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</si>
  <si>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</si>
  <si>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</si>
  <si>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</si>
  <si>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</si>
  <si>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</si>
  <si>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</si>
  <si>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</si>
  <si>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</si>
  <si>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</si>
  <si>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</si>
  <si>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</si>
  <si>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</si>
  <si>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</si>
  <si>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</si>
  <si>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</si>
  <si>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</si>
  <si>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</si>
  <si>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</si>
  <si>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</si>
  <si>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</si>
  <si>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</si>
  <si>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</si>
  <si>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</si>
  <si>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</si>
  <si>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</si>
  <si>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</si>
  <si>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</si>
  <si>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</si>
  <si>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</si>
  <si>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</si>
  <si>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</si>
  <si>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</si>
  <si>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</si>
  <si>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</si>
  <si>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</si>
  <si>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</si>
  <si>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</si>
  <si>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</si>
  <si>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</si>
  <si>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</si>
  <si>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</si>
  <si>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</si>
  <si>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</si>
  <si>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</si>
  <si>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</si>
  <si>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</si>
  <si>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</si>
  <si>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</si>
  <si>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</si>
  <si>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</si>
  <si>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</si>
  <si>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</si>
  <si>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</si>
  <si>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</si>
  <si>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</si>
  <si>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</si>
  <si>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</si>
  <si>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</si>
  <si>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</si>
  <si>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</si>
  <si>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</si>
  <si>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</si>
  <si>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</si>
  <si>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</si>
  <si>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</si>
  <si>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</si>
  <si>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</si>
  <si>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</si>
  <si>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</si>
  <si>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</si>
  <si>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</si>
  <si>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</si>
  <si>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</si>
  <si>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</si>
  <si>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</si>
  <si>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</si>
  <si>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</si>
  <si>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</si>
  <si>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</si>
  <si>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</si>
  <si>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</si>
  <si>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</si>
  <si>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</si>
  <si>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</si>
  <si>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</si>
  <si>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</si>
  <si>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</si>
  <si>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</si>
  <si>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</si>
  <si>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</si>
  <si>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</si>
  <si>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</si>
  <si>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</si>
  <si>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</si>
  <si>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</si>
  <si>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</si>
  <si>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</si>
  <si>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</si>
  <si>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</si>
  <si>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</si>
  <si>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</si>
  <si>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</si>
  <si>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</si>
  <si>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</si>
  <si>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</si>
  <si>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</si>
  <si>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</si>
  <si>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</si>
  <si>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</si>
  <si>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</si>
  <si>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</si>
  <si>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</si>
  <si>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</si>
  <si>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</si>
  <si>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</si>
  <si>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</si>
  <si>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</si>
  <si>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</si>
  <si>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</si>
  <si>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</si>
  <si>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</si>
  <si>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</si>
  <si>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</si>
  <si>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</si>
  <si>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</si>
  <si>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</si>
  <si>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</si>
  <si>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</si>
  <si>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</si>
  <si>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</si>
  <si>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</si>
  <si>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</si>
  <si>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</si>
  <si>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</si>
  <si>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</si>
  <si>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</si>
  <si>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</si>
  <si>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</si>
  <si>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</si>
  <si>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</si>
  <si>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</si>
  <si>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</si>
  <si>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</si>
  <si>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</si>
  <si>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</si>
  <si>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</si>
  <si>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</si>
  <si>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</si>
  <si>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</si>
  <si>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</si>
  <si>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</si>
  <si>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</si>
  <si>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</si>
  <si>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</si>
  <si>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</si>
  <si>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</si>
  <si>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</si>
  <si>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</si>
  <si>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</si>
  <si>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</si>
  <si>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</si>
  <si>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</si>
  <si>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</si>
  <si>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</si>
  <si>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</si>
  <si>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</si>
  <si>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</si>
  <si>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</si>
  <si>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</si>
  <si>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</si>
  <si>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</si>
  <si>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</si>
  <si>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</si>
  <si>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</si>
  <si>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</si>
  <si>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</si>
  <si>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</si>
  <si>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</si>
  <si>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</si>
  <si>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</si>
  <si>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</si>
  <si>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</si>
  <si>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</si>
  <si>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</si>
  <si>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</si>
  <si>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</si>
  <si>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</si>
  <si>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</si>
  <si>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</si>
  <si>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</si>
  <si>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</si>
  <si>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</si>
  <si>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</si>
  <si>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</si>
  <si>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</si>
  <si>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</si>
  <si>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</si>
  <si>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</si>
  <si>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</si>
  <si>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</si>
  <si>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</si>
  <si>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</si>
  <si>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</si>
  <si>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</si>
  <si>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</si>
  <si>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</si>
  <si>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</si>
  <si>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</si>
  <si>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</si>
  <si>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</si>
  <si>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</si>
  <si>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</si>
  <si>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</si>
  <si>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</si>
  <si>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</si>
  <si>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</si>
  <si>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</si>
  <si>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</si>
  <si>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</si>
  <si>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</si>
  <si>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</si>
  <si>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</si>
  <si>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</si>
  <si>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</si>
  <si>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</si>
  <si>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</si>
  <si>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</si>
  <si>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</si>
  <si>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</si>
  <si>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</si>
  <si>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</si>
  <si>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</si>
  <si>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</si>
  <si>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</si>
  <si>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</si>
  <si>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</si>
  <si>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</si>
  <si>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</si>
  <si>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</si>
  <si>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</si>
  <si>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</si>
  <si>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</si>
  <si>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</si>
  <si>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</si>
  <si>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</si>
  <si>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</si>
  <si>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</si>
  <si>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</si>
  <si>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</si>
  <si>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</si>
  <si>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</si>
  <si>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</si>
  <si>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</si>
  <si>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</si>
  <si>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</si>
  <si>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</si>
  <si>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</si>
  <si>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</si>
  <si>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</si>
  <si>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</si>
  <si>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</si>
  <si>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</si>
  <si>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</si>
  <si>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</si>
  <si>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</si>
  <si>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</si>
  <si>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</si>
  <si>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</si>
  <si>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</si>
  <si>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</si>
  <si>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</si>
  <si>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</si>
  <si>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</si>
  <si>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</si>
  <si>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</si>
  <si>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</si>
  <si>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</si>
  <si>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</si>
  <si>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</si>
  <si>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</si>
  <si>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</si>
  <si>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</si>
  <si>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</si>
  <si>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</si>
  <si>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</si>
  <si>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</si>
  <si>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</si>
  <si>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</si>
  <si>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</si>
  <si>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</si>
  <si>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</si>
  <si>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</si>
  <si>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</si>
  <si>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</si>
  <si>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</si>
  <si>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</si>
  <si>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</si>
  <si>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</si>
  <si>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</si>
  <si>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</si>
  <si>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</si>
  <si>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</si>
  <si>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</si>
  <si>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</si>
  <si>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</si>
  <si>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</si>
  <si>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</si>
  <si>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</si>
  <si>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</si>
  <si>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</si>
  <si>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</si>
  <si>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</si>
  <si>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</si>
  <si>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</si>
  <si>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</si>
  <si>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</si>
  <si>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</si>
  <si>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</si>
  <si>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</si>
  <si>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</si>
  <si>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</si>
  <si>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</si>
  <si>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</si>
  <si>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</si>
  <si>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</si>
  <si>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</si>
  <si>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</si>
  <si>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</si>
  <si>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</si>
  <si>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</si>
  <si>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</si>
  <si>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</si>
  <si>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</si>
  <si>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</si>
  <si>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</si>
  <si>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</si>
  <si>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</si>
  <si>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</si>
  <si>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</si>
  <si>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</si>
  <si>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</si>
  <si>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</si>
  <si>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</si>
  <si>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</si>
  <si>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</si>
  <si>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</si>
  <si>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</si>
  <si>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</si>
  <si>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</si>
  <si>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</si>
  <si>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</si>
  <si>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</si>
  <si>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</si>
  <si>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</si>
  <si>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</si>
  <si>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</si>
  <si>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</si>
  <si>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</si>
  <si>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</si>
  <si>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</si>
  <si>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</si>
  <si>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</si>
  <si>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</si>
  <si>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</si>
  <si>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</si>
  <si>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</si>
  <si>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</si>
  <si>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</si>
  <si>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</si>
  <si>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</si>
  <si>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</si>
  <si>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</si>
  <si>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</si>
  <si>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</si>
  <si>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</si>
  <si>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</si>
  <si>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</si>
  <si>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</si>
  <si>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</si>
  <si>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</si>
  <si>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</si>
  <si>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</si>
  <si>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</si>
  <si>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</si>
  <si>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</si>
  <si>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</si>
  <si>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</si>
  <si>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</si>
  <si>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</si>
  <si>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</si>
  <si>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</si>
  <si>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</si>
  <si>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</si>
  <si>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</si>
  <si>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</si>
  <si>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</si>
  <si>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</si>
  <si>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</si>
  <si>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</si>
  <si>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</si>
  <si>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</si>
  <si>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</si>
  <si>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</si>
  <si>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</si>
  <si>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</si>
  <si>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</si>
  <si>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</si>
  <si>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</si>
  <si>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</si>
  <si>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</si>
  <si>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</si>
  <si>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</si>
  <si>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</si>
  <si>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</si>
  <si>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</si>
  <si>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</si>
  <si>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</si>
  <si>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</si>
  <si>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</si>
  <si>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</si>
  <si>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</si>
  <si>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</si>
  <si>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</si>
  <si>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</si>
  <si>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</si>
  <si>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</si>
  <si>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</si>
  <si>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</si>
  <si>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</si>
  <si>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</si>
  <si>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</si>
  <si>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</si>
  <si>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</si>
  <si>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</si>
  <si>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</si>
  <si>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</si>
  <si>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</si>
  <si>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</si>
  <si>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</si>
  <si>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</si>
  <si>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</si>
  <si>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</si>
  <si>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</si>
  <si>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</si>
  <si>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</si>
  <si>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</si>
  <si>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</si>
  <si>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</si>
  <si>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</si>
  <si>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</si>
  <si>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</si>
  <si>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</si>
  <si>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</si>
  <si>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</si>
  <si>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</si>
  <si>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</si>
  <si>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</si>
  <si>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</si>
  <si>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</si>
  <si>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</si>
  <si>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</si>
  <si>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</si>
  <si>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</si>
  <si>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</si>
  <si>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</si>
  <si>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</si>
  <si>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</si>
  <si>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</si>
  <si>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</si>
  <si>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</si>
  <si>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</si>
  <si>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</si>
  <si>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</si>
  <si>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</si>
  <si>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</si>
  <si>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</si>
  <si>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</si>
  <si>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</si>
  <si>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</si>
  <si>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</si>
  <si>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</si>
  <si>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</si>
  <si>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</si>
  <si>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</si>
  <si>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</si>
  <si>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</si>
  <si>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</si>
  <si>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</si>
  <si>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</si>
  <si>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</si>
  <si>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</si>
  <si>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</si>
  <si>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</si>
  <si>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</si>
  <si>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</si>
  <si>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</si>
  <si>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</si>
  <si>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</si>
  <si>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</si>
  <si>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</si>
  <si>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</si>
  <si>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</si>
  <si>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</si>
  <si>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</si>
  <si>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</si>
  <si>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</si>
  <si>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</si>
  <si>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</si>
  <si>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</si>
  <si>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</si>
  <si>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</si>
  <si>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</si>
  <si>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</si>
  <si>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</si>
  <si>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</si>
  <si>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</si>
  <si>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</si>
  <si>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</si>
  <si>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</si>
  <si>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</si>
  <si>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</si>
  <si>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</si>
  <si>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</si>
  <si>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</si>
  <si>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</si>
  <si>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</si>
  <si>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</si>
  <si>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</si>
  <si>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</si>
  <si>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</si>
  <si>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</si>
  <si>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</si>
  <si>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</si>
  <si>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</si>
  <si>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</si>
  <si>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</si>
  <si>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</si>
  <si>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</si>
  <si>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</si>
  <si>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</si>
  <si>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</si>
  <si>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</si>
  <si>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</si>
  <si>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</si>
  <si>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</si>
  <si>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</si>
  <si>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</si>
  <si>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</si>
  <si>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</si>
  <si>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</si>
  <si>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</si>
  <si>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</si>
  <si>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</si>
  <si>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</si>
  <si>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</si>
  <si>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</si>
  <si>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</si>
  <si>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</si>
  <si>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</si>
  <si>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</si>
  <si>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</si>
  <si>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</si>
  <si>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</si>
  <si>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</si>
  <si>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</si>
  <si>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</si>
  <si>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</si>
  <si>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</si>
  <si>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</si>
  <si>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</si>
  <si>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</si>
  <si>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</si>
  <si>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</si>
  <si>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</si>
  <si>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</si>
  <si>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</si>
  <si>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</si>
  <si>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</si>
  <si>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</si>
  <si>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</si>
  <si>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</si>
  <si>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</si>
  <si>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</si>
  <si>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</si>
  <si>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</si>
  <si>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</si>
  <si>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</si>
  <si>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</si>
  <si>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</si>
  <si>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</si>
  <si>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</si>
  <si>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</si>
  <si>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</si>
  <si>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</si>
  <si>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</si>
  <si>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</si>
  <si>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</si>
  <si>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</si>
  <si>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</si>
  <si>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</si>
  <si>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</si>
  <si>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</si>
  <si>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</si>
  <si>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</si>
  <si>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</si>
  <si>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</si>
  <si>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</si>
  <si>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</si>
  <si>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</si>
  <si>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</si>
  <si>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</si>
  <si>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</si>
  <si>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</si>
  <si>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</si>
  <si>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</si>
  <si>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</si>
  <si>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</si>
  <si>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</si>
  <si>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</si>
  <si>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</si>
  <si>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</si>
  <si>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</si>
  <si>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</si>
  <si>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</si>
  <si>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</si>
  <si>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</si>
  <si>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</si>
  <si>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</si>
  <si>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</si>
  <si>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</si>
  <si>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</si>
  <si>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</si>
  <si>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</si>
  <si>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</si>
  <si>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</si>
  <si>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</si>
  <si>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</si>
  <si>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</si>
  <si>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</si>
  <si>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</si>
  <si>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</si>
  <si>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</si>
  <si>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</si>
  <si>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</si>
  <si>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</si>
  <si>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</si>
  <si>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</si>
  <si>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</si>
  <si>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</si>
  <si>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</si>
  <si>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</si>
  <si>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</si>
  <si>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</si>
  <si>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</si>
  <si>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</si>
  <si>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</si>
  <si>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</si>
  <si>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</si>
  <si>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</si>
  <si>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</si>
  <si>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</si>
  <si>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</si>
  <si>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</si>
  <si>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</si>
  <si>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</si>
  <si>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</si>
  <si>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</si>
  <si>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</si>
  <si>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</si>
  <si>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</si>
  <si>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</si>
  <si>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</si>
  <si>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</si>
  <si>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</si>
  <si>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</si>
  <si>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</si>
  <si>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</si>
  <si>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</si>
  <si>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</si>
  <si>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</si>
  <si>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</si>
  <si>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</si>
  <si>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</si>
  <si>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</si>
  <si>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</si>
  <si>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</si>
  <si>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</si>
  <si>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</si>
  <si>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</si>
  <si>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</si>
  <si>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</si>
  <si>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</si>
  <si>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</si>
  <si>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</si>
  <si>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</si>
  <si>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</si>
  <si>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</si>
  <si>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</si>
  <si>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</si>
  <si>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</si>
  <si>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</si>
  <si>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</si>
  <si>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</si>
  <si>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</si>
  <si>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</si>
  <si>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</si>
  <si>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</si>
  <si>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</si>
  <si>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</si>
  <si>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</si>
  <si>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</si>
  <si>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</si>
  <si>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</si>
  <si>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</si>
  <si>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</si>
  <si>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</si>
  <si>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</si>
  <si>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</si>
  <si>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</si>
  <si>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</si>
  <si>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</si>
  <si>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</si>
  <si>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</si>
  <si>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</si>
  <si>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</si>
  <si>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</si>
  <si>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</si>
  <si>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</si>
  <si>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</si>
  <si>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</si>
  <si>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</si>
  <si>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</si>
  <si>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</si>
  <si>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</si>
  <si>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</si>
  <si>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</si>
  <si>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</si>
  <si>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</si>
  <si>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</si>
  <si>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</si>
  <si>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</si>
  <si>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</si>
  <si>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</si>
  <si>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</si>
  <si>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</si>
  <si>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</si>
  <si>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</si>
  <si>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</si>
  <si>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</si>
  <si>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</si>
  <si>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</si>
  <si>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</si>
  <si>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</si>
  <si>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</si>
  <si>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</si>
  <si>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</si>
  <si>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</si>
  <si>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</si>
  <si>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</si>
  <si>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</si>
  <si>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</si>
  <si>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</si>
  <si>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</si>
  <si>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</si>
  <si>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</si>
  <si>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</si>
  <si>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</si>
  <si>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</si>
  <si>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</si>
  <si>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</si>
  <si>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</si>
  <si>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</si>
  <si>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</si>
  <si>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</si>
  <si>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</si>
  <si>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</si>
  <si>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</si>
  <si>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</si>
  <si>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</si>
  <si>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</si>
  <si>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</si>
  <si>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</si>
  <si>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</si>
  <si>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</si>
  <si>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</si>
  <si>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</si>
  <si>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</si>
  <si>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</si>
  <si>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</si>
  <si>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</si>
  <si>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</si>
  <si>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</si>
  <si>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</si>
  <si>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</si>
  <si>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</si>
  <si>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</si>
  <si>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</si>
  <si>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</si>
  <si>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</si>
  <si>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</si>
  <si>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</si>
  <si>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</si>
  <si>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</si>
  <si>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</si>
  <si>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</si>
  <si>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</si>
  <si>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</si>
  <si>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</si>
  <si>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</si>
  <si>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</si>
  <si>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</si>
  <si>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</si>
  <si>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</si>
  <si>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</si>
  <si>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</si>
  <si>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</si>
  <si>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</si>
  <si>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</si>
  <si>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</si>
  <si>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</si>
  <si>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</si>
  <si>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</si>
  <si>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</si>
  <si>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</si>
  <si>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</si>
  <si>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</si>
  <si>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</si>
  <si>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</si>
  <si>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</si>
  <si>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</si>
  <si>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</si>
  <si>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</si>
  <si>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</si>
  <si>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</si>
  <si>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</si>
  <si>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</si>
  <si>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</si>
  <si>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</si>
  <si>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</si>
  <si>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</si>
  <si>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</si>
  <si>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</si>
  <si>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</si>
  <si>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</si>
  <si>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</si>
  <si>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</si>
  <si>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</si>
  <si>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</si>
  <si>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</si>
  <si>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</si>
  <si>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</si>
  <si>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</si>
  <si>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</si>
  <si>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</si>
  <si>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</si>
  <si>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</si>
  <si>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</si>
  <si>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</si>
  <si>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</si>
  <si>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</si>
  <si>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</si>
  <si>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</si>
  <si>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</si>
  <si>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</si>
  <si>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</si>
  <si>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</si>
  <si>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</si>
  <si>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</si>
  <si>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</si>
  <si>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</si>
  <si>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</si>
  <si>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</si>
  <si>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</si>
  <si>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</si>
  <si>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</si>
  <si>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</si>
  <si>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</si>
  <si>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</si>
  <si>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</si>
  <si>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</si>
  <si>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</si>
  <si>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</si>
  <si>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</si>
  <si>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</si>
  <si>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</si>
  <si>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</si>
  <si>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</si>
  <si>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</si>
  <si>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</si>
  <si>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</si>
  <si>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</si>
  <si>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</si>
  <si>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</si>
  <si>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</si>
  <si>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</si>
  <si>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</si>
  <si>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</si>
  <si>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</si>
  <si>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</si>
  <si>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</si>
  <si>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</si>
  <si>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</si>
  <si>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</si>
  <si>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</si>
  <si>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</si>
  <si>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</si>
  <si>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</si>
  <si>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</si>
  <si>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</si>
  <si>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</si>
  <si>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</si>
  <si>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</si>
  <si>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</si>
  <si>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</si>
  <si>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</si>
  <si>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</si>
  <si>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</si>
  <si>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</si>
  <si>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</si>
  <si>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</si>
  <si>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</si>
  <si>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</si>
  <si>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</si>
  <si>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</si>
  <si>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</si>
  <si>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</si>
  <si>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</si>
  <si>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</si>
  <si>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</si>
  <si>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</si>
  <si>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</si>
  <si>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</si>
  <si>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</si>
  <si>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</si>
  <si>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</si>
  <si>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</si>
  <si>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</si>
  <si>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</si>
  <si>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</si>
  <si>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</si>
  <si>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</si>
  <si>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</si>
  <si>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</si>
  <si>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</si>
  <si>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</si>
  <si>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</si>
  <si>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</si>
  <si>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</si>
  <si>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</si>
  <si>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</si>
  <si>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</si>
  <si>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</si>
  <si>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</si>
  <si>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</si>
  <si>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</si>
  <si>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</si>
  <si>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</si>
  <si>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</si>
  <si>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</si>
  <si>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</si>
  <si>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</si>
  <si>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</si>
  <si>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</si>
  <si>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</si>
  <si>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</si>
  <si>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</si>
  <si>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</si>
  <si>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</si>
  <si>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</si>
  <si>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</si>
  <si>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</si>
  <si>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</si>
  <si>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</si>
  <si>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</si>
  <si>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</si>
  <si>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</si>
  <si>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</si>
  <si>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</si>
  <si>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</si>
  <si>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</si>
  <si>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</si>
  <si>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</si>
  <si>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</si>
  <si>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</si>
  <si>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</si>
  <si>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</si>
  <si>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</si>
  <si>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</si>
  <si>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</si>
  <si>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</si>
  <si>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</si>
  <si>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</si>
  <si>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</si>
  <si>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</si>
  <si>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</si>
  <si>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</si>
  <si>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</si>
  <si>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</si>
  <si>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</si>
  <si>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</si>
  <si>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</si>
  <si>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</si>
  <si>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</si>
  <si>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</si>
  <si>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</si>
  <si>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</si>
  <si>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</si>
  <si>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</si>
  <si>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</si>
  <si>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</si>
  <si>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</si>
  <si>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</si>
  <si>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</si>
  <si>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</si>
  <si>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</si>
  <si>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</si>
  <si>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</si>
  <si>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</si>
  <si>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</si>
  <si>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</si>
  <si>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</si>
  <si>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</si>
  <si>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</si>
  <si>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</si>
  <si>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</si>
  <si>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</si>
  <si>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</si>
  <si>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</si>
  <si>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</si>
  <si>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</si>
  <si>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</si>
  <si>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</si>
  <si>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</si>
  <si>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</si>
  <si>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</si>
  <si>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</si>
  <si>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</si>
  <si>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</si>
  <si>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</si>
  <si>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</si>
  <si>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</si>
  <si>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</si>
  <si>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</si>
  <si>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</si>
  <si>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</si>
  <si>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</si>
  <si>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</si>
  <si>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</si>
  <si>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</si>
  <si>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</si>
  <si>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</si>
  <si>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</si>
  <si>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</si>
  <si>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</si>
  <si>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</si>
  <si>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</si>
  <si>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</si>
  <si>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</si>
  <si>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</si>
  <si>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</si>
  <si>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</si>
  <si>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</si>
  <si>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</si>
  <si>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</si>
  <si>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</si>
  <si>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</si>
  <si>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</si>
  <si>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</si>
  <si>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</si>
  <si>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</si>
  <si>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</si>
  <si>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</si>
  <si>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</si>
  <si>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</si>
  <si>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</si>
  <si>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</si>
  <si>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</si>
  <si>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</si>
  <si>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</si>
  <si>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</si>
  <si>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</si>
  <si>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</si>
  <si>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</si>
  <si>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</si>
  <si>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</si>
  <si>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</si>
  <si>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</si>
  <si>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</si>
  <si>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</si>
  <si>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</si>
  <si>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</si>
  <si>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</si>
  <si>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</si>
  <si>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</si>
  <si>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</si>
  <si>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</si>
  <si>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</si>
  <si>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</si>
  <si>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</si>
  <si>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</si>
  <si>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</si>
  <si>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</si>
  <si>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</si>
  <si>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</si>
  <si>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</si>
  <si>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</si>
  <si>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</si>
  <si>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</si>
  <si>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</si>
  <si>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</si>
  <si>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</si>
  <si>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</si>
  <si>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</si>
  <si>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</si>
  <si>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</si>
  <si>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</si>
  <si>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</si>
  <si>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</si>
  <si>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</si>
  <si>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</si>
  <si>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</si>
  <si>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</si>
  <si>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</si>
  <si>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</si>
  <si>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</si>
  <si>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</si>
  <si>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</si>
  <si>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</si>
  <si>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</si>
  <si>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</si>
  <si>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</si>
  <si>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</si>
  <si>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</si>
  <si>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</si>
  <si>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</si>
  <si>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</si>
  <si>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</si>
  <si>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</si>
  <si>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</si>
  <si>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</si>
  <si>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</si>
  <si>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</si>
  <si>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</si>
  <si>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</si>
  <si>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</si>
  <si>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</si>
  <si>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</si>
  <si>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</si>
  <si>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</si>
  <si>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</si>
  <si>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</si>
  <si>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</si>
  <si>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</si>
  <si>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</si>
  <si>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</si>
  <si>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</si>
  <si>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</si>
  <si>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</si>
  <si>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</si>
  <si>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</si>
  <si>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</si>
  <si>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</si>
  <si>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</si>
  <si>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</si>
  <si>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</si>
  <si>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</si>
  <si>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</si>
  <si>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</si>
  <si>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</si>
  <si>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</si>
  <si>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</si>
  <si>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</si>
  <si>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</si>
  <si>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</si>
  <si>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</si>
  <si>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</si>
  <si>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</si>
  <si>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</si>
  <si>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</si>
  <si>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</si>
  <si>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</si>
  <si>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</si>
  <si>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</si>
  <si>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</si>
  <si>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</si>
  <si>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</si>
  <si>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</si>
  <si>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</si>
  <si>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</si>
  <si>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</si>
  <si>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</si>
  <si>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</si>
  <si>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</si>
  <si>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</si>
  <si>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</si>
  <si>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</si>
  <si>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</si>
  <si>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</si>
  <si>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</si>
  <si>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</si>
  <si>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</si>
  <si>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</si>
  <si>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</si>
  <si>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</si>
  <si>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</si>
  <si>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</si>
  <si>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</si>
  <si>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</si>
  <si>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</si>
  <si>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</si>
  <si>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</si>
  <si>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</si>
  <si>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</si>
  <si>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</si>
  <si>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</si>
  <si>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</si>
  <si>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</si>
  <si>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</si>
  <si>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</si>
  <si>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</si>
  <si>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</si>
  <si>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</si>
  <si>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</si>
  <si>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</si>
  <si>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</si>
  <si>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</si>
  <si>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</si>
  <si>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</si>
  <si>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</si>
  <si>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</si>
  <si>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</si>
  <si>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</si>
  <si>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</si>
  <si>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</si>
  <si>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</si>
  <si>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</si>
  <si>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</si>
  <si>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</si>
  <si>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</si>
  <si>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</si>
  <si>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</si>
  <si>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</si>
  <si>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</si>
  <si>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</si>
  <si>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</si>
  <si>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</si>
  <si>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</si>
  <si>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</si>
  <si>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</si>
  <si>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</si>
  <si>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</si>
  <si>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</si>
  <si>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</si>
  <si>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</si>
  <si>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</si>
  <si>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</si>
  <si>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</si>
  <si>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</si>
  <si>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</si>
  <si>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</si>
  <si>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</si>
  <si>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</si>
  <si>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</si>
  <si>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</si>
  <si>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</si>
  <si>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</si>
  <si>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</si>
  <si>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</si>
  <si>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</si>
  <si>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</si>
  <si>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</si>
  <si>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</si>
  <si>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</si>
  <si>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</si>
  <si>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</si>
  <si>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</si>
  <si>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</si>
  <si>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</si>
  <si>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</si>
  <si>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</si>
  <si>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</si>
  <si>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</si>
  <si>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</si>
  <si>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</si>
  <si>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</si>
  <si>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</si>
  <si>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</si>
  <si>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</si>
  <si>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</si>
  <si>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</si>
  <si>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</si>
  <si>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</si>
  <si>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</si>
  <si>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</si>
  <si>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</si>
  <si>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</si>
  <si>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</si>
  <si>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</si>
  <si>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</si>
  <si>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</si>
  <si>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</si>
  <si>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</si>
  <si>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</si>
  <si>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</si>
  <si>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</si>
  <si>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</si>
  <si>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</si>
  <si>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</si>
  <si>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</si>
  <si>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</si>
  <si>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</si>
  <si>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</si>
  <si>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</si>
  <si>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</si>
  <si>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</si>
  <si>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</si>
  <si>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</si>
  <si>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</si>
  <si>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</si>
  <si>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</si>
  <si>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</si>
  <si>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</si>
  <si>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</si>
  <si>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</si>
  <si>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</si>
  <si>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</si>
  <si>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</si>
  <si>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</si>
  <si>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</si>
  <si>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</si>
  <si>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</si>
  <si>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</si>
  <si>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</si>
  <si>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</si>
  <si>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</si>
  <si>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</si>
  <si>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</si>
  <si>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</si>
  <si>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</si>
  <si>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</si>
  <si>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</si>
  <si>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</si>
  <si>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</si>
  <si>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</si>
  <si>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</si>
  <si>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</si>
  <si>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</si>
  <si>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</si>
  <si>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</si>
  <si>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</si>
  <si>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</si>
  <si>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</si>
  <si>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</si>
  <si>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</si>
  <si>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</si>
  <si>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</si>
  <si>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</si>
  <si>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</si>
  <si>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</si>
  <si>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</si>
  <si>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</si>
  <si>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</si>
  <si>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</si>
  <si>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</si>
  <si>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</si>
  <si>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</si>
  <si>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</si>
  <si>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</si>
  <si>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</si>
  <si>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</si>
  <si>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</si>
  <si>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</si>
  <si>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</si>
  <si>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</si>
  <si>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</si>
  <si>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</si>
  <si>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</si>
  <si>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</si>
  <si>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</si>
  <si>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</si>
  <si>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</si>
  <si>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</si>
  <si>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</si>
  <si>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</si>
  <si>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</si>
  <si>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</si>
  <si>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</si>
  <si>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</si>
  <si>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</si>
  <si>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</si>
  <si>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</si>
  <si>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</si>
  <si>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</si>
  <si>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</si>
  <si>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</si>
  <si>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</si>
  <si>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</si>
  <si>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</si>
  <si>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</si>
  <si>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</si>
  <si>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</si>
  <si>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</si>
  <si>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</si>
  <si>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</si>
  <si>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</si>
  <si>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</si>
  <si>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</si>
  <si>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</si>
  <si>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</si>
  <si>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</si>
  <si>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</si>
  <si>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</si>
  <si>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</si>
  <si>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</si>
  <si>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</si>
  <si>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</si>
  <si>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</si>
  <si>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</si>
  <si>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</si>
  <si>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</si>
  <si>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</si>
  <si>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</si>
  <si>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</si>
  <si>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</si>
  <si>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</si>
  <si>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</si>
  <si>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</si>
  <si>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</si>
  <si>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</si>
  <si>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</si>
  <si>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</si>
  <si>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</si>
  <si>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</si>
  <si>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</si>
  <si>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</si>
  <si>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</si>
  <si>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</si>
  <si>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</si>
  <si>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</si>
  <si>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</si>
  <si>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</si>
  <si>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</si>
  <si>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</si>
  <si>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</si>
  <si>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</si>
  <si>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</si>
  <si>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</si>
  <si>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</si>
  <si>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</si>
  <si>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</si>
  <si>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</si>
  <si>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</si>
  <si>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</si>
  <si>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</si>
  <si>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</si>
  <si>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</si>
  <si>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</si>
  <si>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</si>
  <si>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</si>
  <si>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</si>
  <si>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</si>
  <si>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</si>
  <si>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</si>
  <si>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</si>
  <si>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</si>
  <si>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</si>
  <si>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</si>
  <si>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</si>
  <si>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</si>
  <si>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</si>
  <si>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</si>
  <si>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</si>
  <si>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</si>
  <si>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</si>
  <si>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</si>
  <si>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</si>
  <si>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</si>
  <si>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</si>
  <si>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</si>
  <si>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</si>
  <si>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</si>
  <si>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</si>
  <si>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</si>
  <si>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</si>
  <si>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</si>
  <si>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</si>
  <si>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</si>
  <si>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</si>
  <si>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</si>
  <si>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</si>
  <si>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</si>
  <si>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</si>
  <si>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</si>
  <si>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</si>
  <si>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</si>
  <si>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</si>
  <si>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</si>
  <si>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</si>
  <si>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</si>
  <si>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</si>
  <si>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</si>
  <si>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</si>
  <si>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</si>
  <si>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</si>
  <si>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</si>
  <si>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</si>
  <si>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</si>
  <si>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</si>
  <si>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</si>
  <si>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</si>
  <si>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</si>
  <si>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</si>
  <si>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</si>
  <si>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</si>
  <si>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</si>
  <si>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</si>
  <si>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</si>
  <si>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</si>
  <si>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</si>
  <si>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</si>
  <si>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</si>
  <si>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</si>
  <si>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</si>
  <si>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</si>
  <si>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</si>
  <si>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</si>
  <si>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</si>
  <si>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</si>
  <si>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</si>
  <si>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</si>
  <si>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</si>
  <si>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</si>
  <si>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</si>
  <si>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</si>
  <si>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</si>
  <si>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</si>
  <si>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</si>
  <si>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</si>
  <si>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</si>
  <si>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</si>
  <si>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</si>
  <si>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</si>
  <si>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</si>
  <si>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</si>
  <si>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</si>
  <si>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</si>
  <si>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</si>
  <si>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</si>
  <si>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</si>
  <si>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</si>
  <si>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</si>
  <si>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</si>
  <si>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</si>
  <si>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</si>
  <si>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</si>
  <si>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</si>
  <si>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</si>
  <si>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</si>
  <si>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</si>
  <si>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</si>
  <si>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</si>
  <si>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</si>
  <si>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</si>
  <si>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</si>
  <si>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</si>
  <si>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</si>
  <si>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</si>
  <si>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</si>
  <si>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</si>
  <si>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</si>
  <si>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</si>
  <si>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</si>
  <si>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</si>
  <si>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</si>
  <si>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</si>
  <si>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</si>
  <si>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</si>
  <si>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</si>
  <si>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</si>
  <si>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</si>
  <si>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</si>
  <si>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</si>
  <si>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</si>
  <si>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</si>
  <si>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</si>
  <si>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</si>
  <si>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</si>
  <si>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</si>
  <si>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</si>
  <si>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</si>
  <si>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</si>
  <si>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</si>
  <si>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</si>
  <si>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</si>
  <si>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</si>
  <si>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</si>
  <si>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</si>
  <si>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</si>
  <si>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</si>
  <si>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</si>
  <si>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</si>
  <si>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</si>
  <si>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</si>
  <si>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</si>
  <si>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</si>
  <si>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</si>
  <si>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</si>
  <si>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</si>
  <si>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</si>
  <si>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</si>
  <si>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</si>
  <si>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</si>
  <si>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</si>
  <si>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</si>
  <si>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</si>
  <si>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</si>
  <si>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</si>
  <si>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</si>
  <si>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</si>
  <si>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</si>
  <si>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</si>
  <si>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</si>
  <si>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</si>
  <si>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</si>
  <si>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</si>
  <si>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</si>
  <si>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</si>
  <si>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</si>
  <si>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</si>
  <si>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</si>
  <si>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</si>
  <si>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</si>
  <si>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</si>
  <si>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</si>
  <si>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</si>
  <si>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</si>
  <si>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</si>
  <si>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</si>
  <si>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</si>
  <si>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</si>
  <si>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</si>
  <si>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</si>
  <si>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</si>
  <si>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</si>
  <si>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</si>
  <si>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</si>
  <si>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</si>
  <si>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</si>
  <si>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</si>
  <si>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</si>
  <si>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</si>
  <si>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</si>
  <si>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</si>
  <si>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</si>
  <si>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</si>
  <si>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</si>
  <si>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</si>
  <si>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</si>
  <si>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</si>
  <si>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</si>
  <si>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</si>
  <si>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</si>
  <si>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</si>
  <si>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</si>
  <si>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</si>
  <si>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</si>
  <si>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</si>
  <si>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</si>
  <si>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</si>
  <si>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</si>
  <si>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</si>
  <si>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</si>
  <si>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</si>
  <si>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</si>
  <si>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</si>
  <si>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</si>
  <si>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</si>
  <si>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</si>
  <si>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</si>
  <si>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</si>
  <si>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</si>
  <si>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</si>
  <si>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</si>
  <si>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</si>
  <si>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</si>
  <si>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</si>
  <si>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</si>
  <si>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</si>
  <si>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</si>
  <si>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</si>
  <si>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</si>
  <si>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</si>
  <si>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</si>
  <si>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</si>
  <si>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</si>
  <si>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</si>
  <si>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</si>
  <si>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</si>
  <si>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</si>
  <si>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</si>
  <si>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</si>
  <si>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</si>
  <si>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</si>
  <si>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</si>
  <si>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</si>
  <si>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</si>
  <si>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</si>
  <si>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</si>
  <si>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</si>
  <si>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</si>
  <si>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</si>
  <si>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</si>
  <si>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</si>
  <si>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</si>
  <si>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</si>
  <si>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</si>
  <si>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</si>
  <si>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</si>
  <si>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</si>
  <si>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</si>
  <si>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</si>
  <si>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</si>
  <si>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</si>
  <si>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</si>
  <si>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</si>
  <si>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</si>
  <si>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</si>
  <si>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</si>
  <si>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</si>
  <si>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</si>
  <si>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</si>
  <si>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</si>
  <si>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</si>
  <si>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</si>
  <si>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</si>
  <si>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</si>
  <si>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</si>
  <si>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</si>
  <si>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</si>
  <si>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</si>
  <si>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</si>
  <si>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</si>
  <si>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</si>
  <si>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</si>
  <si>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</si>
  <si>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</si>
  <si>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</si>
  <si>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</si>
  <si>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</si>
  <si>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</si>
  <si>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</si>
  <si>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</si>
  <si>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</si>
  <si>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</si>
  <si>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</si>
  <si>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</si>
  <si>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</si>
  <si>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</si>
  <si>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</si>
  <si>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</si>
  <si>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</si>
  <si>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</si>
  <si>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</si>
  <si>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</si>
  <si>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</si>
  <si>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</si>
  <si>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</si>
  <si>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</si>
  <si>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</si>
  <si>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</si>
  <si>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</si>
  <si>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</si>
  <si>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</si>
  <si>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</si>
  <si>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</si>
  <si>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</si>
  <si>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</si>
  <si>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</si>
  <si>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</si>
  <si>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</si>
  <si>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</si>
  <si>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</si>
  <si>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</si>
  <si>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</si>
  <si>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</si>
  <si>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</si>
  <si>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</si>
  <si>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</si>
  <si>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</si>
  <si>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</si>
  <si>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</si>
  <si>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</si>
  <si>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</si>
  <si>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</si>
  <si>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</si>
  <si>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</si>
  <si>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</si>
  <si>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</si>
  <si>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</si>
  <si>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</si>
  <si>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</si>
  <si>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</si>
  <si>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</si>
  <si>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</si>
  <si>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</si>
  <si>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</si>
  <si>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</si>
  <si>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</si>
  <si>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</si>
  <si>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</si>
  <si>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</si>
  <si>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</si>
  <si>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</si>
  <si>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</si>
  <si>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</si>
  <si>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</si>
  <si>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</si>
  <si>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</si>
  <si>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</si>
  <si>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</si>
  <si>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</si>
  <si>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</si>
  <si>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</si>
  <si>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</si>
  <si>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</si>
  <si>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</si>
  <si>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</si>
  <si>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</si>
  <si>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</si>
  <si>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</si>
  <si>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</si>
  <si>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</si>
  <si>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</si>
  <si>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</si>
  <si>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</si>
  <si>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</si>
  <si>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</si>
  <si>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</si>
  <si>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</si>
  <si>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</si>
  <si>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</si>
  <si>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</si>
  <si>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</si>
  <si>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</si>
  <si>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</si>
  <si>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</si>
  <si>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</si>
  <si>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</si>
  <si>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</si>
  <si>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</si>
  <si>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</si>
  <si>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</si>
  <si>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</si>
  <si>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</si>
  <si>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</si>
  <si>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</si>
  <si>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</si>
  <si>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</si>
  <si>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</si>
  <si>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</si>
  <si>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</si>
  <si>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</si>
  <si>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</si>
  <si>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</si>
  <si>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</si>
  <si>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</si>
  <si>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</si>
  <si>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</si>
  <si>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</si>
  <si>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</si>
  <si>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</si>
  <si>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</si>
  <si>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</si>
  <si>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</si>
  <si>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</si>
  <si>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</si>
  <si>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</si>
  <si>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</si>
  <si>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</si>
  <si>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</si>
  <si>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</si>
  <si>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</si>
  <si>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</si>
  <si>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</si>
  <si>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</si>
  <si>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</si>
  <si>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</si>
  <si>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</si>
  <si>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</si>
  <si>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</si>
  <si>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</si>
  <si>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</si>
  <si>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</si>
  <si>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</si>
  <si>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</si>
  <si>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</si>
  <si>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</si>
  <si>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</si>
  <si>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</si>
  <si>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</si>
  <si>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</si>
  <si>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</si>
  <si>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</si>
  <si>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</si>
  <si>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</si>
  <si>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</si>
  <si>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</si>
  <si>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</si>
  <si>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</si>
  <si>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</si>
  <si>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</si>
  <si>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</si>
  <si>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</si>
  <si>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</si>
  <si>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</si>
  <si>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</si>
  <si>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</si>
  <si>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</si>
  <si>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</si>
  <si>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</si>
  <si>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</si>
  <si>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</si>
  <si>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</si>
  <si>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</si>
  <si>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</si>
  <si>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</si>
  <si>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</si>
  <si>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</si>
  <si>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</si>
  <si>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</si>
  <si>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</si>
  <si>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</si>
  <si>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</si>
  <si>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</si>
  <si>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</si>
  <si>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</si>
  <si>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</si>
  <si>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</si>
  <si>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</si>
  <si>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</si>
  <si>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</si>
  <si>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</si>
  <si>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</si>
  <si>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</si>
  <si>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</si>
  <si>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</si>
  <si>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</si>
  <si>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</si>
  <si>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</si>
  <si>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</si>
  <si>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</si>
  <si>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</si>
  <si>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</si>
  <si>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</si>
  <si>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</si>
  <si>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</si>
  <si>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</si>
  <si>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</si>
  <si>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</si>
  <si>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</si>
  <si>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</si>
  <si>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</si>
  <si>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</si>
  <si>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</si>
  <si>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</si>
  <si>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</si>
  <si>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</si>
  <si>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</si>
  <si>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</si>
  <si>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</si>
  <si>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</si>
  <si>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</si>
  <si>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</si>
  <si>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</si>
  <si>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</si>
  <si>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</si>
  <si>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</si>
  <si>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</si>
  <si>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</si>
  <si>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</si>
  <si>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</si>
  <si>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</si>
  <si>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</si>
  <si>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</si>
  <si>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</si>
  <si>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</si>
  <si>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</si>
  <si>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</si>
  <si>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</si>
  <si>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</si>
  <si>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</si>
  <si>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</si>
  <si>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</si>
  <si>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</si>
  <si>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</si>
  <si>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</si>
  <si>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</si>
  <si>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</si>
  <si>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</si>
  <si>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</si>
  <si>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</si>
  <si>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</si>
  <si>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</si>
  <si>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</si>
  <si>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</si>
  <si>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</si>
  <si>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</si>
  <si>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</si>
  <si>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</si>
  <si>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</si>
  <si>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</si>
  <si>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</si>
  <si>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</si>
  <si>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</si>
  <si>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</si>
  <si>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</si>
  <si>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</si>
  <si>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</si>
  <si>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</si>
  <si>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</si>
  <si>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</si>
  <si>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</si>
  <si>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</si>
  <si>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</si>
  <si>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</si>
  <si>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</si>
  <si>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</si>
  <si>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</si>
  <si>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</si>
  <si>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</si>
  <si>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</si>
  <si>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</si>
  <si>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</si>
  <si>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</si>
  <si>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</si>
  <si>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</si>
  <si>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</si>
  <si>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</si>
  <si>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</si>
  <si>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</si>
  <si>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</si>
  <si>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</si>
  <si>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</si>
  <si>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</si>
  <si>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</si>
  <si>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</si>
  <si>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</si>
  <si>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</si>
  <si>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</si>
  <si>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</si>
  <si>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</si>
  <si>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</si>
  <si>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</si>
  <si>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</si>
  <si>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</si>
  <si>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</si>
  <si>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</si>
  <si>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</si>
  <si>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</si>
  <si>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</si>
  <si>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</si>
  <si>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</si>
  <si>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</si>
  <si>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</si>
  <si>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</si>
  <si>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</si>
  <si>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</si>
  <si>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</si>
  <si>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</si>
  <si>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</si>
  <si>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</si>
  <si>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</si>
  <si>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</si>
  <si>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</si>
  <si>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</si>
  <si>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</si>
  <si>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</si>
  <si>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</si>
  <si>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</si>
  <si>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</si>
  <si>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</si>
  <si>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</si>
  <si>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</si>
  <si>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</si>
  <si>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</si>
  <si>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</si>
  <si>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</si>
  <si>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</si>
  <si>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</si>
  <si>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</si>
  <si>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</si>
  <si>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</si>
  <si>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</si>
  <si>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</si>
  <si>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</si>
  <si>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</si>
  <si>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</si>
  <si>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</si>
  <si>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</si>
  <si>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</si>
  <si>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</si>
  <si>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</si>
  <si>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</si>
  <si>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</si>
  <si>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</si>
  <si>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</si>
  <si>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</si>
  <si>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</si>
  <si>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</si>
  <si>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</si>
  <si>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</si>
  <si>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</si>
  <si>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</si>
  <si>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</si>
  <si>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</si>
  <si>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</si>
  <si>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</si>
  <si>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</si>
  <si>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</si>
  <si>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</si>
  <si>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</si>
  <si>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</si>
  <si>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</si>
  <si>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</si>
  <si>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</si>
  <si>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</si>
  <si>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</si>
  <si>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</si>
  <si>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</si>
  <si>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</si>
  <si>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</si>
  <si>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</si>
  <si>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</si>
  <si>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</si>
  <si>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</si>
  <si>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</si>
  <si>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</si>
  <si>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</si>
  <si>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</si>
  <si>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</si>
  <si>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</si>
  <si>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</si>
  <si>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</si>
  <si>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</si>
  <si>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</si>
  <si>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</si>
  <si>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</si>
  <si>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</si>
  <si>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</si>
  <si>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</si>
  <si>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</si>
  <si>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</si>
  <si>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</si>
  <si>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</si>
  <si>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</si>
  <si>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</si>
  <si>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</si>
  <si>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</si>
  <si>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</si>
  <si>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</si>
  <si>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</si>
  <si>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</si>
  <si>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</si>
  <si>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</si>
  <si>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</si>
  <si>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</si>
  <si>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</si>
  <si>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</si>
  <si>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</si>
  <si>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</si>
  <si>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</si>
  <si>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</si>
  <si>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</si>
  <si>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</si>
  <si>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</si>
  <si>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</si>
  <si>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</si>
  <si>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</si>
  <si>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</si>
  <si>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</si>
  <si>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</si>
  <si>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</si>
  <si>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</si>
  <si>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</si>
  <si>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</si>
  <si>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</si>
  <si>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</si>
  <si>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</si>
  <si>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</si>
  <si>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</si>
  <si>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</si>
  <si>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</si>
  <si>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</si>
  <si>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</si>
  <si>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</si>
  <si>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</si>
  <si>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</si>
  <si>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</si>
  <si>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</si>
  <si>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</si>
  <si>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</si>
  <si>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</si>
  <si>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</si>
  <si>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</si>
  <si>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</si>
  <si>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</si>
  <si>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</si>
  <si>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</si>
  <si>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</si>
  <si>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</si>
  <si>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</si>
  <si>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</si>
  <si>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</si>
  <si>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</si>
  <si>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</si>
  <si>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</si>
  <si>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</si>
  <si>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</si>
  <si>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</si>
  <si>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</si>
  <si>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</si>
  <si>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</si>
  <si>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</si>
  <si>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</si>
  <si>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</si>
  <si>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</si>
  <si>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</si>
  <si>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</si>
  <si>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</si>
  <si>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</si>
  <si>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</si>
  <si>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</si>
  <si>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</si>
  <si>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</si>
  <si>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</si>
  <si>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</si>
  <si>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</si>
  <si>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</si>
  <si>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</si>
  <si>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</si>
  <si>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</si>
  <si>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</si>
  <si>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</si>
  <si>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</si>
  <si>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</si>
  <si>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</si>
  <si>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</si>
  <si>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</si>
  <si>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</si>
  <si>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</si>
  <si>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</si>
  <si>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</si>
  <si>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</si>
  <si>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</si>
  <si>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</si>
  <si>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</si>
  <si>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</si>
  <si>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</si>
  <si>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</si>
  <si>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</si>
  <si>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</si>
  <si>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</si>
  <si>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</si>
  <si>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</si>
  <si>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</si>
  <si>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</si>
  <si>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</si>
  <si>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</si>
  <si>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</si>
  <si>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</si>
  <si>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</si>
  <si>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</si>
  <si>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</si>
  <si>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</si>
  <si>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</si>
  <si>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</si>
  <si>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</si>
  <si>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</si>
  <si>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</si>
  <si>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</si>
  <si>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</si>
  <si>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</si>
  <si>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</si>
  <si>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</si>
  <si>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</si>
  <si>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</si>
  <si>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</si>
  <si>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</si>
  <si>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</si>
  <si>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</si>
  <si>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</si>
  <si>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</si>
  <si>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</si>
  <si>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</si>
  <si>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</si>
  <si>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</si>
  <si>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</si>
  <si>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</si>
  <si>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</si>
  <si>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</si>
  <si>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</si>
  <si>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</si>
  <si>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</si>
  <si>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</si>
  <si>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</si>
  <si>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</si>
  <si>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</si>
  <si>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</si>
  <si>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</si>
  <si>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</si>
  <si>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</si>
  <si>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</si>
  <si>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</si>
  <si>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</si>
  <si>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</si>
  <si>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</si>
  <si>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</si>
  <si>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</si>
  <si>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</si>
  <si>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</si>
  <si>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</si>
  <si>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</si>
  <si>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</si>
  <si>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</si>
  <si>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</si>
  <si>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</si>
  <si>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</si>
  <si>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</si>
  <si>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</si>
  <si>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</si>
  <si>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</si>
  <si>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</si>
  <si>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</si>
  <si>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</si>
  <si>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</si>
  <si>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</si>
  <si>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</si>
  <si>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</si>
  <si>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</si>
  <si>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</si>
  <si>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</si>
  <si>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</si>
  <si>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</si>
  <si>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</si>
  <si>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</si>
  <si>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</si>
  <si>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</si>
  <si>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</si>
  <si>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</si>
  <si>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</si>
  <si>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</si>
  <si>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</si>
  <si>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</si>
  <si>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</si>
  <si>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</si>
  <si>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</si>
  <si>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</si>
  <si>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</si>
  <si>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</si>
  <si>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</si>
  <si>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</si>
  <si>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</si>
  <si>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</si>
  <si>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</si>
  <si>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</si>
  <si>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</si>
  <si>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</si>
  <si>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</si>
  <si>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</si>
  <si>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</si>
  <si>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</si>
  <si>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</si>
  <si>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</si>
  <si>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</si>
  <si>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</si>
  <si>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</si>
  <si>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</si>
  <si>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</si>
  <si>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</si>
  <si>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</si>
  <si>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</si>
  <si>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</si>
  <si>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</si>
  <si>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</si>
  <si>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</si>
  <si>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</si>
  <si>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</si>
  <si>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</si>
  <si>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</si>
  <si>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</si>
  <si>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</si>
  <si>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</si>
  <si>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</si>
  <si>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</si>
  <si>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</si>
  <si>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</si>
  <si>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</si>
  <si>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</si>
  <si>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</si>
  <si>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</si>
  <si>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</si>
  <si>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</si>
  <si>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</si>
  <si>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</si>
  <si>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</si>
  <si>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</si>
  <si>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</si>
  <si>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</si>
  <si>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</si>
  <si>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</si>
  <si>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</si>
  <si>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</si>
  <si>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</si>
  <si>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</si>
  <si>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</si>
  <si>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</si>
  <si>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</si>
  <si>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</si>
  <si>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</si>
  <si>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</si>
  <si>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</si>
  <si>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</si>
  <si>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</si>
  <si>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</si>
  <si>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</si>
  <si>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</si>
  <si>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</si>
  <si>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</si>
  <si>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</si>
  <si>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</si>
  <si>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</si>
  <si>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</si>
  <si>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</si>
  <si>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</si>
  <si>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</si>
  <si>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</si>
  <si>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</si>
  <si>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</si>
  <si>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</si>
  <si>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</si>
  <si>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</si>
  <si>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</si>
  <si>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</si>
  <si>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</si>
  <si>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</si>
  <si>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</si>
  <si>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</si>
  <si>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</si>
  <si>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</si>
  <si>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</si>
  <si>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</si>
  <si>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</si>
  <si>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</si>
  <si>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</si>
  <si>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</si>
  <si>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</si>
  <si>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</si>
  <si>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</si>
  <si>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</si>
  <si>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</si>
  <si>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</si>
  <si>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</si>
  <si>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</si>
  <si>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</si>
  <si>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</si>
  <si>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</si>
  <si>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</si>
  <si>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</si>
  <si>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</si>
  <si>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</si>
  <si>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</si>
  <si>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</si>
  <si>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</si>
  <si>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</si>
  <si>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</si>
  <si>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</si>
  <si>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</si>
  <si>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</si>
  <si>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</si>
  <si>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</si>
  <si>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</si>
  <si>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</si>
  <si>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</si>
  <si>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</si>
  <si>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</si>
  <si>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</si>
  <si>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</si>
  <si>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</si>
  <si>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</si>
  <si>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</si>
  <si>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</si>
  <si>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</si>
  <si>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</si>
  <si>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</si>
  <si>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</si>
  <si>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</si>
  <si>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</si>
  <si>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</si>
  <si>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</si>
  <si>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</si>
  <si>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</si>
  <si>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</si>
  <si>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</si>
  <si>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</si>
  <si>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</si>
  <si>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</si>
  <si>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</si>
  <si>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</si>
  <si>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</si>
  <si>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</si>
  <si>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</si>
  <si>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</si>
  <si>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</si>
  <si>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</si>
  <si>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</si>
  <si>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</si>
  <si>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</si>
  <si>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</si>
  <si>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</si>
  <si>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</si>
  <si>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</si>
  <si>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</si>
  <si>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</si>
  <si>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</si>
  <si>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</si>
  <si>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</si>
  <si>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</si>
  <si>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</si>
  <si>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</si>
  <si>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</si>
  <si>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</si>
  <si>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</si>
  <si>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</si>
  <si>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</si>
  <si>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</si>
  <si>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</si>
  <si>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</si>
  <si>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</si>
  <si>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</si>
  <si>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</si>
  <si>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</si>
  <si>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</si>
  <si>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</si>
  <si>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</si>
  <si>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</si>
  <si>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</si>
  <si>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</si>
  <si>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</si>
  <si>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</si>
  <si>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</si>
  <si>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</si>
  <si>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</si>
  <si>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</si>
  <si>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</si>
  <si>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</si>
  <si>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</si>
  <si>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</si>
  <si>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</si>
  <si>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</si>
  <si>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</si>
  <si>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</si>
  <si>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</si>
  <si>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</si>
  <si>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</si>
  <si>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</si>
  <si>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</si>
  <si>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</si>
  <si>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</si>
  <si>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</si>
  <si>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</si>
  <si>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</si>
  <si>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</si>
  <si>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</si>
  <si>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</si>
  <si>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</si>
  <si>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</si>
  <si>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</si>
  <si>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</si>
  <si>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</si>
  <si>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</si>
  <si>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</si>
  <si>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</si>
  <si>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</si>
  <si>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</si>
  <si>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</si>
  <si>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</si>
  <si>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</si>
  <si>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</si>
  <si>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</si>
  <si>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</si>
  <si>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</si>
  <si>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</si>
  <si>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</si>
  <si>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</si>
  <si>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</si>
  <si>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</si>
  <si>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</si>
  <si>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</si>
  <si>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</si>
  <si>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</si>
  <si>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</si>
  <si>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</si>
  <si>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</si>
  <si>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</si>
  <si>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</si>
  <si>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</si>
  <si>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</si>
  <si>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</si>
  <si>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</si>
  <si>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</si>
  <si>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</si>
  <si>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</si>
  <si>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</si>
  <si>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</si>
  <si>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</si>
  <si>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</si>
  <si>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</si>
  <si>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</si>
  <si>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</si>
  <si>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</si>
  <si>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</si>
  <si>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</si>
  <si>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</si>
  <si>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</si>
  <si>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</si>
  <si>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</si>
  <si>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</si>
  <si>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</si>
  <si>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</si>
  <si>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</si>
  <si>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</si>
  <si>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</si>
  <si>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</si>
  <si>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</si>
  <si>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</si>
  <si>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</si>
  <si>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</si>
  <si>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</si>
  <si>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</si>
  <si>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</si>
  <si>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</si>
  <si>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</si>
  <si>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</si>
  <si>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</si>
  <si>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</si>
  <si>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</si>
  <si>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</si>
  <si>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</si>
  <si>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</si>
  <si>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</si>
  <si>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</si>
  <si>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</si>
  <si>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</si>
  <si>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</si>
  <si>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</si>
  <si>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</si>
  <si>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</si>
  <si>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</si>
  <si>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</si>
  <si>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</si>
  <si>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</si>
  <si>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</si>
  <si>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</si>
  <si>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</si>
  <si>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</si>
  <si>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</si>
  <si>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</si>
  <si>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</si>
  <si>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</si>
  <si>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</si>
  <si>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</si>
  <si>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</si>
  <si>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</si>
  <si>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</si>
  <si>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</si>
  <si>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</si>
  <si>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</si>
  <si>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</si>
  <si>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</si>
  <si>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</si>
  <si>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</si>
  <si>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</si>
  <si>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</si>
  <si>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</si>
  <si>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</si>
  <si>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</si>
  <si>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</si>
  <si>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</si>
  <si>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</si>
  <si>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</si>
  <si>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</si>
  <si>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</si>
  <si>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</si>
  <si>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</si>
  <si>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</si>
  <si>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</si>
  <si>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</si>
  <si>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</si>
  <si>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</si>
  <si>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</si>
  <si>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</si>
  <si>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</si>
  <si>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</si>
  <si>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</si>
  <si>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</si>
  <si>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</si>
  <si>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</si>
  <si>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</si>
  <si>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</si>
  <si>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</si>
  <si>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</si>
  <si>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</si>
  <si>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</si>
  <si>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</si>
  <si>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</si>
  <si>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</si>
  <si>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</si>
  <si>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</si>
  <si>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</si>
  <si>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</si>
  <si>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</si>
  <si>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</si>
  <si>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</si>
  <si>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</si>
  <si>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</si>
  <si>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</si>
  <si>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</si>
  <si>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</si>
  <si>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</si>
  <si>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</si>
  <si>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</si>
  <si>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</si>
  <si>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</si>
  <si>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</si>
  <si>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</si>
  <si>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</si>
  <si>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</si>
  <si>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</si>
  <si>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</si>
  <si>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</si>
  <si>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</si>
  <si>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</si>
  <si>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</si>
  <si>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</si>
  <si>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</si>
  <si>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</si>
  <si>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</si>
  <si>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</si>
  <si>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</si>
  <si>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</si>
  <si>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</si>
  <si>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</si>
  <si>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</si>
  <si>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</si>
  <si>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</si>
  <si>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</si>
  <si>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</si>
  <si>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</si>
  <si>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</si>
  <si>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</si>
  <si>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</si>
  <si>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</si>
  <si>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</si>
  <si>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</si>
  <si>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</si>
  <si>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</si>
  <si>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</si>
  <si>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</si>
  <si>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</si>
  <si>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</si>
  <si>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</si>
  <si>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</si>
  <si>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</si>
  <si>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</si>
  <si>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</si>
  <si>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</si>
  <si>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</si>
  <si>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</si>
  <si>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</si>
  <si>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</si>
  <si>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</si>
  <si>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</si>
  <si>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</si>
  <si>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</si>
  <si>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</si>
  <si>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</si>
  <si>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</si>
  <si>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</si>
  <si>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</si>
  <si>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</si>
  <si>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</si>
  <si>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</si>
  <si>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</si>
  <si>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</si>
  <si>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</si>
  <si>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</si>
  <si>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</si>
  <si>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</si>
  <si>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</si>
  <si>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</si>
  <si>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</si>
  <si>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</si>
  <si>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</si>
  <si>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</si>
  <si>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</si>
  <si>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</si>
  <si>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</si>
  <si>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</si>
  <si>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</si>
  <si>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</si>
  <si>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</si>
  <si>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</si>
  <si>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</si>
  <si>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</si>
  <si>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</si>
  <si>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</si>
  <si>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</si>
  <si>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</si>
  <si>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</si>
  <si>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</si>
  <si>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</si>
  <si>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</si>
  <si>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</si>
  <si>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</si>
  <si>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</si>
  <si>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</si>
  <si>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</si>
  <si>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</si>
  <si>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</si>
  <si>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</si>
  <si>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</si>
  <si>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</si>
  <si>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</si>
  <si>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</si>
  <si>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</si>
  <si>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</si>
  <si>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</si>
  <si>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</si>
  <si>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</si>
  <si>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</si>
  <si>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</si>
  <si>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</si>
  <si>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</si>
  <si>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</si>
  <si>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</si>
  <si>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</si>
  <si>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</si>
  <si>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</si>
  <si>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</si>
  <si>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</si>
  <si>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</si>
  <si>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</si>
  <si>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</si>
  <si>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</si>
  <si>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</si>
  <si>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</si>
  <si>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</si>
  <si>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</si>
  <si>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</si>
  <si>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</si>
  <si>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</si>
  <si>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</si>
  <si>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</si>
  <si>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</si>
  <si>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</si>
  <si>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</si>
  <si>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</si>
  <si>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</si>
  <si>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</si>
  <si>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</si>
  <si>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</si>
  <si>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</si>
  <si>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</si>
  <si>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</si>
  <si>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</si>
  <si>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</si>
  <si>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</si>
  <si>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</si>
  <si>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</si>
  <si>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</si>
  <si>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</si>
  <si>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</si>
  <si>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</si>
  <si>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</si>
  <si>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</si>
  <si>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</si>
  <si>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</si>
  <si>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</si>
  <si>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</si>
  <si>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</si>
  <si>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</si>
  <si>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</si>
  <si>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</si>
  <si>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</si>
  <si>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</si>
  <si>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</si>
  <si>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</si>
  <si>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</si>
  <si>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</si>
  <si>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</si>
  <si>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</si>
  <si>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</si>
  <si>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</si>
  <si>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</si>
  <si>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</si>
  <si>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</si>
  <si>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</si>
  <si>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</si>
  <si>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</si>
  <si>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</si>
  <si>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</si>
  <si>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</si>
  <si>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</si>
  <si>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</si>
  <si>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</si>
  <si>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</si>
  <si>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</si>
  <si>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</si>
  <si>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</si>
  <si>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</si>
  <si>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</si>
  <si>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</si>
  <si>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</si>
  <si>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</si>
  <si>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</si>
  <si>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</si>
  <si>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</si>
  <si>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</si>
  <si>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</si>
  <si>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</si>
  <si>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</si>
  <si>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</si>
  <si>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</si>
  <si>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</si>
  <si>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</si>
  <si>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</si>
  <si>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</si>
  <si>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</si>
  <si>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</si>
  <si>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</si>
  <si>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</si>
  <si>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</si>
  <si>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</si>
  <si>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</si>
  <si>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</si>
  <si>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</si>
  <si>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</si>
  <si>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</si>
  <si>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</si>
  <si>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</si>
  <si>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</si>
  <si>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</si>
  <si>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</si>
  <si>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</si>
  <si>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</si>
  <si>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</si>
  <si>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</si>
  <si>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</si>
  <si>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</si>
  <si>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</si>
  <si>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</si>
  <si>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</si>
  <si>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</si>
  <si>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</si>
  <si>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</si>
  <si>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</si>
  <si>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</si>
  <si>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</si>
  <si>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</si>
  <si>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</si>
  <si>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</si>
  <si>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</si>
  <si>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</si>
  <si>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</si>
  <si>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</si>
  <si>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</si>
  <si>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</si>
  <si>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</si>
  <si>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</si>
  <si>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</si>
  <si>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</si>
  <si>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</si>
  <si>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</si>
  <si>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</si>
  <si>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</si>
  <si>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</si>
  <si>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</si>
  <si>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</si>
  <si>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</si>
  <si>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</si>
  <si>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</si>
  <si>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</si>
  <si>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</si>
  <si>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</si>
  <si>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</si>
  <si>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</si>
  <si>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</si>
  <si>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</si>
  <si>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</si>
  <si>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</si>
  <si>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</si>
  <si>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</si>
  <si>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</si>
  <si>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</si>
  <si>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</si>
  <si>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</si>
  <si>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</si>
  <si>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</si>
  <si>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</si>
  <si>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</si>
  <si>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</si>
  <si>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</si>
  <si>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</si>
  <si>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</si>
  <si>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</si>
  <si>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</si>
  <si>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</si>
  <si>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</si>
  <si>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</si>
  <si>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</si>
  <si>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</si>
  <si>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</si>
  <si>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</si>
  <si>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</si>
  <si>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</si>
  <si>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</si>
  <si>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</si>
  <si>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</si>
  <si>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</si>
  <si>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</si>
  <si>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</si>
  <si>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</si>
  <si>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</si>
  <si>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</si>
  <si>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</si>
  <si>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</si>
  <si>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</si>
  <si>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</si>
  <si>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</si>
  <si>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</si>
  <si>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</si>
  <si>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</si>
  <si>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</si>
  <si>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</si>
  <si>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</si>
  <si>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</si>
  <si>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</si>
  <si>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</si>
  <si>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</si>
  <si>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</si>
  <si>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</si>
  <si>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</si>
  <si>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</si>
  <si>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</si>
  <si>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</si>
  <si>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</si>
  <si>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</si>
  <si>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</si>
  <si>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</si>
  <si>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</si>
  <si>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</si>
  <si>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</si>
  <si>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</si>
  <si>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</si>
  <si>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</si>
  <si>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</si>
  <si>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</si>
  <si>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</si>
  <si>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</si>
  <si>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</si>
  <si>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</si>
  <si>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</si>
  <si>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</si>
  <si>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</si>
  <si>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</si>
  <si>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</si>
  <si>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</si>
  <si>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</si>
  <si>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</si>
  <si>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</si>
  <si>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</si>
  <si>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</si>
  <si>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</si>
  <si>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</si>
  <si>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</si>
  <si>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</si>
  <si>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</si>
  <si>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</si>
  <si>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</si>
  <si>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</si>
  <si>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</si>
  <si>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</si>
  <si>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</si>
  <si>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</si>
  <si>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</si>
  <si>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</si>
  <si>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</si>
  <si>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</si>
  <si>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</si>
  <si>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</si>
  <si>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</si>
  <si>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</si>
  <si>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</si>
  <si>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</si>
  <si>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</si>
  <si>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</si>
  <si>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</si>
  <si>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</si>
  <si>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</si>
  <si>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</si>
  <si>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</si>
  <si>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</si>
  <si>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</si>
  <si>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</si>
  <si>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</si>
  <si>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</si>
  <si>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</si>
  <si>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</si>
  <si>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</si>
  <si>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</si>
  <si>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</si>
  <si>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</si>
  <si>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</si>
  <si>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</si>
  <si>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</si>
  <si>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</si>
  <si>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</si>
  <si>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</si>
  <si>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</si>
  <si>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</si>
  <si>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</si>
  <si>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</si>
  <si>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</si>
  <si>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</si>
  <si>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</si>
  <si>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</si>
  <si>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</si>
  <si>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</si>
  <si>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</si>
  <si>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</si>
  <si>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</si>
  <si>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</si>
  <si>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</si>
  <si>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</si>
  <si>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</si>
  <si>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</si>
  <si>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</si>
  <si>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</si>
  <si>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</si>
  <si>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</si>
  <si>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</si>
  <si>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</si>
  <si>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</si>
  <si>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</si>
  <si>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</si>
  <si>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</si>
  <si>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</si>
  <si>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</si>
  <si>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</si>
  <si>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</si>
  <si>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</si>
  <si>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</si>
  <si>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</si>
  <si>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</si>
  <si>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</si>
  <si>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</si>
  <si>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</si>
  <si>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</si>
  <si>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</si>
  <si>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</si>
  <si>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</si>
  <si>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</si>
  <si>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</si>
  <si>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</si>
  <si>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</si>
  <si>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</si>
  <si>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</si>
  <si>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</si>
  <si>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</si>
  <si>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</si>
  <si>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</si>
  <si>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</si>
  <si>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</si>
  <si>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</si>
  <si>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</si>
  <si>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</si>
  <si>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</si>
  <si>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</si>
  <si>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</si>
  <si>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</si>
  <si>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</si>
  <si>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</si>
  <si>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</si>
  <si>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</si>
  <si>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</si>
  <si>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</si>
  <si>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</si>
  <si>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</si>
  <si>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</si>
  <si>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</si>
  <si>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</si>
  <si>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</si>
  <si>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</si>
  <si>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</si>
  <si>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</si>
  <si>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</si>
  <si>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</si>
  <si>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</si>
  <si>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</si>
  <si>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</si>
  <si>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</si>
  <si>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</si>
  <si>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</si>
  <si>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</si>
  <si>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</si>
  <si>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</si>
  <si>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</si>
  <si>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</si>
  <si>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</si>
  <si>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</si>
  <si>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</si>
  <si>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</si>
  <si>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</si>
  <si>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</si>
  <si>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</si>
  <si>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</si>
  <si>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</si>
  <si>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</si>
  <si>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</si>
  <si>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</si>
  <si>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</si>
  <si>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</si>
  <si>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</si>
  <si>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</si>
  <si>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</si>
  <si>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</si>
  <si>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</si>
  <si>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</si>
  <si>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</si>
  <si>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</si>
  <si>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</si>
  <si>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</si>
  <si>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</si>
  <si>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</si>
  <si>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</si>
  <si>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</si>
  <si>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</si>
  <si>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</si>
  <si>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</si>
  <si>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</si>
  <si>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</si>
  <si>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</si>
  <si>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</si>
  <si>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</si>
  <si>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</si>
  <si>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</si>
  <si>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</si>
  <si>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</si>
  <si>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</si>
  <si>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</si>
  <si>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</si>
  <si>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</si>
  <si>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</si>
  <si>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</si>
  <si>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</si>
  <si>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</si>
  <si>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</si>
  <si>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</si>
  <si>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</si>
  <si>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</si>
  <si>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</si>
  <si>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</si>
  <si>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</si>
  <si>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</si>
  <si>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</si>
  <si>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</si>
  <si>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</si>
  <si>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</si>
  <si>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</si>
  <si>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</si>
  <si>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</si>
  <si>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</si>
  <si>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</si>
  <si>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</si>
  <si>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</si>
  <si>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</si>
  <si>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</si>
  <si>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</si>
  <si>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</si>
  <si>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</si>
  <si>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</si>
  <si>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</si>
  <si>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</si>
  <si>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</si>
  <si>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</si>
  <si>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</si>
  <si>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</si>
  <si>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</si>
  <si>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</si>
  <si>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</si>
  <si>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</si>
  <si>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</si>
  <si>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</si>
  <si>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</si>
  <si>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</si>
  <si>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</si>
  <si>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</si>
  <si>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</si>
  <si>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</si>
  <si>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</si>
  <si>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</si>
  <si>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</si>
  <si>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</si>
  <si>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</si>
  <si>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</si>
  <si>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</si>
  <si>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</si>
  <si>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</si>
  <si>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</si>
  <si>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</si>
  <si>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</si>
  <si>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</si>
  <si>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</si>
  <si>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</si>
  <si>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</si>
  <si>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</si>
  <si>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</si>
  <si>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</si>
  <si>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</si>
  <si>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</si>
  <si>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</si>
  <si>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</si>
  <si>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</si>
  <si>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</si>
  <si>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</si>
  <si>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</si>
  <si>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</si>
  <si>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</si>
  <si>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</si>
  <si>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</si>
  <si>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</si>
  <si>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</si>
  <si>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</si>
  <si>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</si>
  <si>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</si>
  <si>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</si>
  <si>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</si>
  <si>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</si>
  <si>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</si>
  <si>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</si>
  <si>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</si>
  <si>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</si>
  <si>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</si>
  <si>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</si>
  <si>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</si>
  <si>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</si>
  <si>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</si>
  <si>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</si>
  <si>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</si>
  <si>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</si>
  <si>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</si>
  <si>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</si>
  <si>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</si>
  <si>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</si>
  <si>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</si>
  <si>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</si>
  <si>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</si>
  <si>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</si>
  <si>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</si>
  <si>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</si>
  <si>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</si>
  <si>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</si>
  <si>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</si>
  <si>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</si>
  <si>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</si>
  <si>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</si>
  <si>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</si>
  <si>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</si>
  <si>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</si>
  <si>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</si>
  <si>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</si>
  <si>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</si>
  <si>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</si>
  <si>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</si>
  <si>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</si>
  <si>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</si>
  <si>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</si>
  <si>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</si>
  <si>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</si>
  <si>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</si>
  <si>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</si>
  <si>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</si>
  <si>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</si>
  <si>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</si>
  <si>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</si>
  <si>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</si>
  <si>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</si>
  <si>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</si>
  <si>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</si>
  <si>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</si>
  <si>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</si>
  <si>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</si>
  <si>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</si>
  <si>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</si>
  <si>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</si>
  <si>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</si>
  <si>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</si>
  <si>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</si>
  <si>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</si>
  <si>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</si>
  <si>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</si>
  <si>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</si>
  <si>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</si>
  <si>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</si>
  <si>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</si>
  <si>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</si>
  <si>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</si>
  <si>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</si>
  <si>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</si>
  <si>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</si>
  <si>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</si>
  <si>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</si>
  <si>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</si>
  <si>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</si>
  <si>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</si>
  <si>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</si>
  <si>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</si>
  <si>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</si>
  <si>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</si>
  <si>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</si>
  <si>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</si>
  <si>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</si>
  <si>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</si>
  <si>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</si>
  <si>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</si>
  <si>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</si>
  <si>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</si>
  <si>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</si>
  <si>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</si>
  <si>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</si>
  <si>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</si>
  <si>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</si>
  <si>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</si>
  <si>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</si>
  <si>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</si>
  <si>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</si>
  <si>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</si>
  <si>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</si>
  <si>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</si>
  <si>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</si>
  <si>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</si>
  <si>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</si>
  <si>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</si>
  <si>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</si>
  <si>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</si>
  <si>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</si>
  <si>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</si>
  <si>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</si>
  <si>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</si>
  <si>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</si>
  <si>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</si>
  <si>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</si>
  <si>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</si>
  <si>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</si>
  <si>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</si>
  <si>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</si>
  <si>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</si>
  <si>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</si>
  <si>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</si>
  <si>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</si>
  <si>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</si>
  <si>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</si>
  <si>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</si>
  <si>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</si>
  <si>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</si>
  <si>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</si>
  <si>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</si>
  <si>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</si>
  <si>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</si>
  <si>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</si>
  <si>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</si>
  <si>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</si>
  <si>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</si>
  <si>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</si>
  <si>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</si>
  <si>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</si>
  <si>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</si>
  <si>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</si>
  <si>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</si>
  <si>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</si>
  <si>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</si>
  <si>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</si>
  <si>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</si>
  <si>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</si>
  <si>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</si>
  <si>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</si>
  <si>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</si>
  <si>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</si>
  <si>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</si>
  <si>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</si>
  <si>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</si>
  <si>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</si>
  <si>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</si>
  <si>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</si>
  <si>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</si>
  <si>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</si>
  <si>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</si>
  <si>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</si>
  <si>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</si>
  <si>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</si>
  <si>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</si>
  <si>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</si>
  <si>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</si>
  <si>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</si>
  <si>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</si>
  <si>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</si>
  <si>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</si>
  <si>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</si>
  <si>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</si>
  <si>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</si>
  <si>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</si>
  <si>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</si>
  <si>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</si>
  <si>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</si>
  <si>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</si>
  <si>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</si>
  <si>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</si>
  <si>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</si>
  <si>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</si>
  <si>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</si>
  <si>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</si>
  <si>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</si>
  <si>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</si>
  <si>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</si>
  <si>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</si>
  <si>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</si>
  <si>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</si>
  <si>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</si>
  <si>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</si>
  <si>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</si>
  <si>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</si>
  <si>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</si>
  <si>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</si>
  <si>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</si>
  <si>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</si>
  <si>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</si>
  <si>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</si>
  <si>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</si>
  <si>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</si>
  <si>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</si>
  <si>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</si>
  <si>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</si>
  <si>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</si>
  <si>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</si>
  <si>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</si>
  <si>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</si>
  <si>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</si>
  <si>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</si>
  <si>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</si>
  <si>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</si>
  <si>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</si>
  <si>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</si>
  <si>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</si>
  <si>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</si>
  <si>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</si>
  <si>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</si>
  <si>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</si>
  <si>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</si>
  <si>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</si>
  <si>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</si>
  <si>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</si>
  <si>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</si>
  <si>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</si>
  <si>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</si>
  <si>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</si>
  <si>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</si>
  <si>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</si>
  <si>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</si>
  <si>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</si>
  <si>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</si>
  <si>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</si>
  <si>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</si>
  <si>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</si>
  <si>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</si>
  <si>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</si>
  <si>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</si>
  <si>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</si>
  <si>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</si>
  <si>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</si>
  <si>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</si>
  <si>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</si>
  <si>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</si>
  <si>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</si>
  <si>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</si>
  <si>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</si>
  <si>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</si>
  <si>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</si>
  <si>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</si>
  <si>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</si>
  <si>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</si>
  <si>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</si>
  <si>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</si>
  <si>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</si>
  <si>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</si>
  <si>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</si>
  <si>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</si>
  <si>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</si>
  <si>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</si>
  <si>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</si>
  <si>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</si>
  <si>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</si>
  <si>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</si>
  <si>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</si>
  <si>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</si>
  <si>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</si>
  <si>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</si>
  <si>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</si>
  <si>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</si>
  <si>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</si>
  <si>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</si>
  <si>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</si>
  <si>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</si>
  <si>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</si>
  <si>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</si>
  <si>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</si>
  <si>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</si>
  <si>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</si>
  <si>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</si>
  <si>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</si>
  <si>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</si>
  <si>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</si>
  <si>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</si>
  <si>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</si>
  <si>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</si>
  <si>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</si>
  <si>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</si>
  <si>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</si>
  <si>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</si>
  <si>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</si>
  <si>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</si>
  <si>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</si>
  <si>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</si>
  <si>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</si>
  <si>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</si>
  <si>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</si>
  <si>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</si>
  <si>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</si>
  <si>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</si>
  <si>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</si>
  <si>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</si>
  <si>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</si>
  <si>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</si>
  <si>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</si>
  <si>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</si>
  <si>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</si>
  <si>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</si>
  <si>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</si>
  <si>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</si>
  <si>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</si>
  <si>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</si>
  <si>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</si>
  <si>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</si>
  <si>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</si>
  <si>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</si>
  <si>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</si>
  <si>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</si>
  <si>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</si>
  <si>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</si>
  <si>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</si>
  <si>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</si>
  <si>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</si>
  <si>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</si>
  <si>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</si>
  <si>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</si>
  <si>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</si>
  <si>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</si>
  <si>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</si>
  <si>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</si>
  <si>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</si>
  <si>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</si>
  <si>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</si>
  <si>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</si>
  <si>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</si>
  <si>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</si>
  <si>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</si>
  <si>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</si>
  <si>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</si>
  <si>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</si>
  <si>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</si>
  <si>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</si>
  <si>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</si>
  <si>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</si>
  <si>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</si>
  <si>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</si>
  <si>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</si>
  <si>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</si>
  <si>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</si>
  <si>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</si>
  <si>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</si>
  <si>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</si>
  <si>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</si>
  <si>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</si>
  <si>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</si>
  <si>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</si>
  <si>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</si>
  <si>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</si>
  <si>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</si>
  <si>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</si>
  <si>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</si>
  <si>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</si>
  <si>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</si>
  <si>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</si>
  <si>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</si>
  <si>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</si>
  <si>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</si>
  <si>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</si>
  <si>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</si>
  <si>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</si>
  <si>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</si>
  <si>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</si>
  <si>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</si>
  <si>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</si>
  <si>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</si>
  <si>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</si>
  <si>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</si>
  <si>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</si>
  <si>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</si>
  <si>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</si>
  <si>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</si>
  <si>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</si>
  <si>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</si>
  <si>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</si>
  <si>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</si>
  <si>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</si>
  <si>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</si>
  <si>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</si>
  <si>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</si>
  <si>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</si>
  <si>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</si>
  <si>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</si>
  <si>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</si>
  <si>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</si>
  <si>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</si>
  <si>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</si>
  <si>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</si>
  <si>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</si>
  <si>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</si>
  <si>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</si>
  <si>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</si>
  <si>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</si>
  <si>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</si>
  <si>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</si>
  <si>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</si>
  <si>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</si>
  <si>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</si>
  <si>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</si>
  <si>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</si>
  <si>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</si>
  <si>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</si>
  <si>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</si>
  <si>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</si>
  <si>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</si>
  <si>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</si>
  <si>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</si>
  <si>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</si>
  <si>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</si>
  <si>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</si>
  <si>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</si>
  <si>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</si>
  <si>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</si>
  <si>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</si>
  <si>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</si>
  <si>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</si>
  <si>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</si>
  <si>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</si>
  <si>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</si>
  <si>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</si>
  <si>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</si>
  <si>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</si>
  <si>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</si>
  <si>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</si>
  <si>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</si>
  <si>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</si>
  <si>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</si>
  <si>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</si>
  <si>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</si>
  <si>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</si>
  <si>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</si>
  <si>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</si>
  <si>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</si>
  <si>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</si>
  <si>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</si>
  <si>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</si>
  <si>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</si>
  <si>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</si>
  <si>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</si>
  <si>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</si>
  <si>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</si>
  <si>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</si>
  <si>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</si>
  <si>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</si>
  <si>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</si>
  <si>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</si>
  <si>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</si>
  <si>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</si>
  <si>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</si>
  <si>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</si>
  <si>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</si>
  <si>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</si>
  <si>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</si>
  <si>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</si>
  <si>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</si>
  <si>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</si>
  <si>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</si>
  <si>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</si>
  <si>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</si>
  <si>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</si>
  <si>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</si>
  <si>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</si>
  <si>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</si>
  <si>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</si>
  <si>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</si>
  <si>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</si>
  <si>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</si>
  <si>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</si>
  <si>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</si>
  <si>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</si>
  <si>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</si>
  <si>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</si>
  <si>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</si>
  <si>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</si>
  <si>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</si>
  <si>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</si>
  <si>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</si>
  <si>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</si>
  <si>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</si>
  <si>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</si>
  <si>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</si>
  <si>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</si>
  <si>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</si>
  <si>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</si>
  <si>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</si>
  <si>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</si>
  <si>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</si>
  <si>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</si>
  <si>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</si>
  <si>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</si>
  <si>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</si>
  <si>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</si>
  <si>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</si>
  <si>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</si>
  <si>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</si>
  <si>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</si>
  <si>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</si>
  <si>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</si>
  <si>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</si>
  <si>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</si>
  <si>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</si>
  <si>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</si>
  <si>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</si>
  <si>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</si>
  <si>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</si>
  <si>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</si>
  <si>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</si>
  <si>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</si>
  <si>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</si>
  <si>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</si>
  <si>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</si>
  <si>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</si>
  <si>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</si>
  <si>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</si>
  <si>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</si>
  <si>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</si>
  <si>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</si>
  <si>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</si>
  <si>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</si>
  <si>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</si>
  <si>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</si>
  <si>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</si>
  <si>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</si>
  <si>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</si>
  <si>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</si>
  <si>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</si>
  <si>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</si>
  <si>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</si>
  <si>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</si>
  <si>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</si>
  <si>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</si>
  <si>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</si>
  <si>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</si>
  <si>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</si>
  <si>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</si>
  <si>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</si>
  <si>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</si>
  <si>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</si>
  <si>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</si>
  <si>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</si>
  <si>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</si>
  <si>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</si>
  <si>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</si>
  <si>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</si>
  <si>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</si>
  <si>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</si>
  <si>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</si>
  <si>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</si>
  <si>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</si>
  <si>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</si>
  <si>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</si>
  <si>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</si>
  <si>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</si>
  <si>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</si>
  <si>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</si>
  <si>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</si>
  <si>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</si>
  <si>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</si>
  <si>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</si>
  <si>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</si>
  <si>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</si>
  <si>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</si>
  <si>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</si>
  <si>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</si>
  <si>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</si>
  <si>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</si>
  <si>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</si>
  <si>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</si>
  <si>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</si>
  <si>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</si>
  <si>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</si>
  <si>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</si>
  <si>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</si>
  <si>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</si>
  <si>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</si>
  <si>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</si>
  <si>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</si>
  <si>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</si>
  <si>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</si>
  <si>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</si>
  <si>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</si>
  <si>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</si>
  <si>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</si>
  <si>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</si>
  <si>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</si>
  <si>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</si>
  <si>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</si>
  <si>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</si>
  <si>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</si>
  <si>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</si>
  <si>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</si>
  <si>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</si>
  <si>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</si>
  <si>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</si>
  <si>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</si>
  <si>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</si>
  <si>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</si>
  <si>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</si>
  <si>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</si>
  <si>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</si>
  <si>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</si>
  <si>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</si>
  <si>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</si>
  <si>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</si>
  <si>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</si>
  <si>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</si>
  <si>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</si>
  <si>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</si>
  <si>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</si>
  <si>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</si>
  <si>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</si>
  <si>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</si>
  <si>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</si>
  <si>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</si>
  <si>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</si>
  <si>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</si>
  <si>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</si>
  <si>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</si>
  <si>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</si>
  <si>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</si>
  <si>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</si>
  <si>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</si>
  <si>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</si>
  <si>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</si>
  <si>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</si>
  <si>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</si>
  <si>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</si>
  <si>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</si>
  <si>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</si>
  <si>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</si>
  <si>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</si>
  <si>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</si>
  <si>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</si>
  <si>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</si>
  <si>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</si>
  <si>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</si>
  <si>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</si>
  <si>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</si>
  <si>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</si>
  <si>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</si>
  <si>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</si>
  <si>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</si>
  <si>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</si>
  <si>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</si>
  <si>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</si>
  <si>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</si>
  <si>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</si>
  <si>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</si>
  <si>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</si>
  <si>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</si>
  <si>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</si>
  <si>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</si>
  <si>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</si>
  <si>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</si>
  <si>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</si>
  <si>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</si>
  <si>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</si>
  <si>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</si>
  <si>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</si>
  <si>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</si>
  <si>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</si>
  <si>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</si>
  <si>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</si>
  <si>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</si>
  <si>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</si>
  <si>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</si>
  <si>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</si>
  <si>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</si>
  <si>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</si>
  <si>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</si>
  <si>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</si>
  <si>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</si>
  <si>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</si>
  <si>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</si>
  <si>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</si>
  <si>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</si>
  <si>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</si>
  <si>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</si>
  <si>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</si>
  <si>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</si>
  <si>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</si>
  <si>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</si>
  <si>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</si>
  <si>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</si>
  <si>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</si>
  <si>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</si>
  <si>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</si>
  <si>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</si>
  <si>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</si>
  <si>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</si>
  <si>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</si>
  <si>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</si>
  <si>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</si>
  <si>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</si>
  <si>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</si>
  <si>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</si>
  <si>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</si>
  <si>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</si>
  <si>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</si>
  <si>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</si>
  <si>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</si>
  <si>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</si>
  <si>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</si>
  <si>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</si>
  <si>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</si>
  <si>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</si>
  <si>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</si>
  <si>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</si>
  <si>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</si>
  <si>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</si>
  <si>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</si>
  <si>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</si>
  <si>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</si>
  <si>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</si>
  <si>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</si>
  <si>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</si>
  <si>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</si>
  <si>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</si>
  <si>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</si>
  <si>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</si>
  <si>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</si>
  <si>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</si>
  <si>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</si>
  <si>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</si>
  <si>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</si>
  <si>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</si>
  <si>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</si>
  <si>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</si>
  <si>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</si>
  <si>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</si>
  <si>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</si>
  <si>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</si>
  <si>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</si>
  <si>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</si>
  <si>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</si>
  <si>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</si>
  <si>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</si>
  <si>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</si>
  <si>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</si>
  <si>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</si>
  <si>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</si>
  <si>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</si>
  <si>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</si>
  <si>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</si>
  <si>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</si>
  <si>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</si>
  <si>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</si>
  <si>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</si>
  <si>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</si>
  <si>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</si>
  <si>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</si>
  <si>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</si>
  <si>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</si>
  <si>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</si>
  <si>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</si>
  <si>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</si>
  <si>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</si>
  <si>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</si>
  <si>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</si>
  <si>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</si>
  <si>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</si>
  <si>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</si>
  <si>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</si>
  <si>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</si>
  <si>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</si>
  <si>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</si>
  <si>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</si>
  <si>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</si>
  <si>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</si>
  <si>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</si>
  <si>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</si>
  <si>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</si>
  <si>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</si>
  <si>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</si>
  <si>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</si>
  <si>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</si>
  <si>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</si>
  <si>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</si>
  <si>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</si>
  <si>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</si>
  <si>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</si>
  <si>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</si>
  <si>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</si>
  <si>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</si>
  <si>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</si>
  <si>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</si>
  <si>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</si>
  <si>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</si>
  <si>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</si>
  <si>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</si>
  <si>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</si>
  <si>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</si>
  <si>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</si>
  <si>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</si>
  <si>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</si>
  <si>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</si>
  <si>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</si>
  <si>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</si>
  <si>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</si>
  <si>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</si>
  <si>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</si>
  <si>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</si>
  <si>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</si>
  <si>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</si>
  <si>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</si>
  <si>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</si>
  <si>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</si>
  <si>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</si>
  <si>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</si>
  <si>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</si>
  <si>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</si>
  <si>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</si>
  <si>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</si>
  <si>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</si>
  <si>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</si>
  <si>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</si>
  <si>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</si>
  <si>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</si>
  <si>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</si>
  <si>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</si>
  <si>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</si>
  <si>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</si>
  <si>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</si>
  <si>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</si>
  <si>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</si>
  <si>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</si>
  <si>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</si>
  <si>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</si>
  <si>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</si>
  <si>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</si>
  <si>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</si>
  <si>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</si>
  <si>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</si>
  <si>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</si>
  <si>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</si>
  <si>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</si>
  <si>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</si>
  <si>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</si>
  <si>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</si>
  <si>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</si>
  <si>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</si>
  <si>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</si>
  <si>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</si>
  <si>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</si>
  <si>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</si>
  <si>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</si>
  <si>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</si>
  <si>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</si>
  <si>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</si>
  <si>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</si>
  <si>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</si>
  <si>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</si>
  <si>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</si>
  <si>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</si>
  <si>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</si>
  <si>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</si>
  <si>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</si>
  <si>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</si>
  <si>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</si>
  <si>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</si>
  <si>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</si>
  <si>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</si>
  <si>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</si>
  <si>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</si>
  <si>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</si>
  <si>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</si>
  <si>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</si>
  <si>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</si>
  <si>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</si>
  <si>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</si>
  <si>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</si>
  <si>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</si>
  <si>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</si>
  <si>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</si>
  <si>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</si>
  <si>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</si>
  <si>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</si>
  <si>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</si>
  <si>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</si>
  <si>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</si>
  <si>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</si>
  <si>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</si>
  <si>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</si>
  <si>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</si>
  <si>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</si>
  <si>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</si>
  <si>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</si>
  <si>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</si>
  <si>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</si>
  <si>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</si>
  <si>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</si>
  <si>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</si>
  <si>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</si>
  <si>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</si>
  <si>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</si>
  <si>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</si>
  <si>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</si>
  <si>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</si>
  <si>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</si>
  <si>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</si>
  <si>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</si>
  <si>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</si>
  <si>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</si>
  <si>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</si>
  <si>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</si>
  <si>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</si>
  <si>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</si>
  <si>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</si>
  <si>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</si>
  <si>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</si>
  <si>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</si>
  <si>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</si>
  <si>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</si>
  <si>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</si>
  <si>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</si>
  <si>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</si>
  <si>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</si>
  <si>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</si>
  <si>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</si>
  <si>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</si>
  <si>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</si>
  <si>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</si>
  <si>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</si>
  <si>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</si>
  <si>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</si>
  <si>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</si>
  <si>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</si>
  <si>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</si>
  <si>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</si>
  <si>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</si>
  <si>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</si>
  <si>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</si>
  <si>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</si>
  <si>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</si>
  <si>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</si>
  <si>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</si>
  <si>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</si>
  <si>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</si>
  <si>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</si>
  <si>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</si>
  <si>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</si>
  <si>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</si>
  <si>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</si>
  <si>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</si>
  <si>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</si>
  <si>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</si>
  <si>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</si>
  <si>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</si>
  <si>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</si>
  <si>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</si>
  <si>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</si>
  <si>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</si>
  <si>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</si>
  <si>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</si>
  <si>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</si>
  <si>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</si>
  <si>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</si>
  <si>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</si>
  <si>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</si>
  <si>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</si>
  <si>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</si>
  <si>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</si>
  <si>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</si>
  <si>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</si>
  <si>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</si>
  <si>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</si>
  <si>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</si>
  <si>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</si>
  <si>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</si>
  <si>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</si>
  <si>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</si>
  <si>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</si>
  <si>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</si>
  <si>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</si>
  <si>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</si>
  <si>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</si>
  <si>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</si>
  <si>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</si>
  <si>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</si>
  <si>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</si>
  <si>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</si>
  <si>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</si>
  <si>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</si>
  <si>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</si>
  <si>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</si>
  <si>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</si>
  <si>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</si>
  <si>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</si>
  <si>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</si>
  <si>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</si>
  <si>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</si>
  <si>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</si>
  <si>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</si>
  <si>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</si>
  <si>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</si>
  <si>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</si>
  <si>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</si>
  <si>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</si>
  <si>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</si>
  <si>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</si>
  <si>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</si>
  <si>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</si>
  <si>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</si>
  <si>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</si>
  <si>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</si>
  <si>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</si>
  <si>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</si>
  <si>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</si>
  <si>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</si>
  <si>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</si>
  <si>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</si>
  <si>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</si>
  <si>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</si>
  <si>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</si>
  <si>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</si>
  <si>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</si>
  <si>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</si>
  <si>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</si>
  <si>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</si>
  <si>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</si>
  <si>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</si>
  <si>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</si>
  <si>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</si>
  <si>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</si>
  <si>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</si>
  <si>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</si>
  <si>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</si>
  <si>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</si>
  <si>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</si>
  <si>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</si>
  <si>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</si>
  <si>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</si>
  <si>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</si>
  <si>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</si>
  <si>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</si>
  <si>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</si>
  <si>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</si>
  <si>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</si>
  <si>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</si>
  <si>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</si>
  <si>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</si>
  <si>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</si>
  <si>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</si>
  <si>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</si>
  <si>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</si>
  <si>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</si>
  <si>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</si>
  <si>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</si>
  <si>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</si>
  <si>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</si>
  <si>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</si>
  <si>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</si>
  <si>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</si>
  <si>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</si>
  <si>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</si>
  <si>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</si>
  <si>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</si>
  <si>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</si>
  <si>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</si>
  <si>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</si>
  <si>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</si>
  <si>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</si>
  <si>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</si>
  <si>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</si>
  <si>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</si>
  <si>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</si>
  <si>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</si>
  <si>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</si>
  <si>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</si>
  <si>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</si>
  <si>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</si>
  <si>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</si>
  <si>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</si>
  <si>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</si>
  <si>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</si>
  <si>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</si>
  <si>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</si>
  <si>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</si>
  <si>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</si>
  <si>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</si>
  <si>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</si>
  <si>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</si>
  <si>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</si>
  <si>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</si>
  <si>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</si>
  <si>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</si>
  <si>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</si>
  <si>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</si>
  <si>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</si>
  <si>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</si>
  <si>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</si>
  <si>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</si>
  <si>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</si>
  <si>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</si>
  <si>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</si>
  <si>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</si>
  <si>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</si>
  <si>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</si>
  <si>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</si>
  <si>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</si>
  <si>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</si>
  <si>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</si>
  <si>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</si>
  <si>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</si>
  <si>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</si>
  <si>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</si>
  <si>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</si>
  <si>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</si>
  <si>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</si>
  <si>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</si>
  <si>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</si>
  <si>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</si>
  <si>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</si>
  <si>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</si>
  <si>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</si>
  <si>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</si>
  <si>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</si>
  <si>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</si>
  <si>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</si>
  <si>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</si>
  <si>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</si>
  <si>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</si>
  <si>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</si>
  <si>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</si>
  <si>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</si>
  <si>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</si>
  <si>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</si>
  <si>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</si>
  <si>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</si>
  <si>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</si>
  <si>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</si>
  <si>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</si>
  <si>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</si>
  <si>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</si>
  <si>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</si>
  <si>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</si>
  <si>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</si>
  <si>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</si>
  <si>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</si>
  <si>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</si>
  <si>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</si>
  <si>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</si>
  <si>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</si>
  <si>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</si>
  <si>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</si>
  <si>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</si>
  <si>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</si>
  <si>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</si>
  <si>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</si>
  <si>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</si>
  <si>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</si>
  <si>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</si>
  <si>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</si>
  <si>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</si>
  <si>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</si>
  <si>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</si>
  <si>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</si>
  <si>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</si>
  <si>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</si>
  <si>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</si>
  <si>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</si>
  <si>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</si>
  <si>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</si>
  <si>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</si>
  <si>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</si>
  <si>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</si>
  <si>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</si>
  <si>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</si>
  <si>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</si>
  <si>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</si>
  <si>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</si>
  <si>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</si>
  <si>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</si>
  <si>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</si>
  <si>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</si>
  <si>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</si>
  <si>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</si>
  <si>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</si>
  <si>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</si>
  <si>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</si>
  <si>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</si>
  <si>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</si>
  <si>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</si>
  <si>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</si>
  <si>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</si>
  <si>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</si>
  <si>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</si>
  <si>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</si>
  <si>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</si>
  <si>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</si>
  <si>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</si>
  <si>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</si>
  <si>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</si>
  <si>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</si>
  <si>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</si>
  <si>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</si>
  <si>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</si>
  <si>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</si>
  <si>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</si>
  <si>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</si>
  <si>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</si>
  <si>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</si>
  <si>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</si>
  <si>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</si>
  <si>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</si>
  <si>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</si>
  <si>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</si>
  <si>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</si>
  <si>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</si>
  <si>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</si>
  <si>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</si>
  <si>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</si>
  <si>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</si>
  <si>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</si>
  <si>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</si>
  <si>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</si>
  <si>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</si>
  <si>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</si>
  <si>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</si>
  <si>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</si>
  <si>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</si>
  <si>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</si>
  <si>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</si>
  <si>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</si>
  <si>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</si>
  <si>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</si>
  <si>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</si>
  <si>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</si>
  <si>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</si>
  <si>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</si>
  <si>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</si>
  <si>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</si>
  <si>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</si>
  <si>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</si>
  <si>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</si>
  <si>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</si>
  <si>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</si>
  <si>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</si>
  <si>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</si>
  <si>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</si>
  <si>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</si>
  <si>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</si>
  <si>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</si>
  <si>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</si>
  <si>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</si>
  <si>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</si>
  <si>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</si>
  <si>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</si>
  <si>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</si>
  <si>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</si>
  <si>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</si>
  <si>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</si>
  <si>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</si>
  <si>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</si>
  <si>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</si>
  <si>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</si>
  <si>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</si>
  <si>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</si>
  <si>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</si>
  <si>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</si>
  <si>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</si>
  <si>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</si>
  <si>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</si>
  <si>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</si>
  <si>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</si>
  <si>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</si>
  <si>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</si>
  <si>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</si>
  <si>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</si>
  <si>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</si>
  <si>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</si>
  <si>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</si>
  <si>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</si>
  <si>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</si>
  <si>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</si>
  <si>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</si>
  <si>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</si>
  <si>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</si>
  <si>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</si>
  <si>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</si>
  <si>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</si>
  <si>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</si>
  <si>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</si>
  <si>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</si>
  <si>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</si>
  <si>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</si>
  <si>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</si>
  <si>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</si>
  <si>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</si>
  <si>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</si>
  <si>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</si>
  <si>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</si>
  <si>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</si>
  <si>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</si>
  <si>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</si>
  <si>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</si>
  <si>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</si>
  <si>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</si>
  <si>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</si>
  <si>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</si>
  <si>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</si>
  <si>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</si>
  <si>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</si>
  <si>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</si>
  <si>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</si>
  <si>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</si>
  <si>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</si>
  <si>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</si>
  <si>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</si>
  <si>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</si>
  <si>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</si>
  <si>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</si>
  <si>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</si>
  <si>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</si>
  <si>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</si>
  <si>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</si>
  <si>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</si>
  <si>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</si>
  <si>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</si>
  <si>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</si>
  <si>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</si>
  <si>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</si>
  <si>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</si>
  <si>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</si>
  <si>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</si>
  <si>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</si>
  <si>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</si>
  <si>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</si>
  <si>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</si>
  <si>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</si>
  <si>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</si>
  <si>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</si>
  <si>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</si>
  <si>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</si>
  <si>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</si>
  <si>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</si>
  <si>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</si>
  <si>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</si>
  <si>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</si>
  <si>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</si>
  <si>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</si>
  <si>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</si>
  <si>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</si>
  <si>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</si>
  <si>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</si>
  <si>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</si>
  <si>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</si>
  <si>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</si>
  <si>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</si>
  <si>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</si>
  <si>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</si>
  <si>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</si>
  <si>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</si>
  <si>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</si>
  <si>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</si>
  <si>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</si>
  <si>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</si>
  <si>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</si>
  <si>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</si>
  <si>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</si>
  <si>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</si>
  <si>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</si>
  <si>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</si>
  <si>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</si>
  <si>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</si>
  <si>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</si>
  <si>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</si>
  <si>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</si>
  <si>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</si>
  <si>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</si>
  <si>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</si>
  <si>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</si>
  <si>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</si>
  <si>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</si>
  <si>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</si>
  <si>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</si>
  <si>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</si>
  <si>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</si>
  <si>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</si>
  <si>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</si>
  <si>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</si>
  <si>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</si>
  <si>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</si>
  <si>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</si>
  <si>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</si>
  <si>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</si>
  <si>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</si>
  <si>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</si>
  <si>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</si>
  <si>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</si>
  <si>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</si>
  <si>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</si>
  <si>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</si>
  <si>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</si>
  <si>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</si>
  <si>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</si>
  <si>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</si>
  <si>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</si>
  <si>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</si>
  <si>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</si>
  <si>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</si>
  <si>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</si>
  <si>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</si>
  <si>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</si>
  <si>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</si>
  <si>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</si>
  <si>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</si>
  <si>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</si>
  <si>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</si>
  <si>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</si>
  <si>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</si>
  <si>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</si>
  <si>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</si>
  <si>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</si>
  <si>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</si>
  <si>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</si>
  <si>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</si>
  <si>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</si>
  <si>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</si>
  <si>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</si>
  <si>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</si>
  <si>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</si>
  <si>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</si>
  <si>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</si>
  <si>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</si>
  <si>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</si>
  <si>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</si>
  <si>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</si>
  <si>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</si>
  <si>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</si>
  <si>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</si>
  <si>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</si>
  <si>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</si>
  <si>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</si>
  <si>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</si>
  <si>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</si>
  <si>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</si>
  <si>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</si>
  <si>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</si>
  <si>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</si>
  <si>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</si>
  <si>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</si>
  <si>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</si>
  <si>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</si>
  <si>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</si>
  <si>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</si>
  <si>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</si>
  <si>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</si>
  <si>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</si>
  <si>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</si>
  <si>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</si>
  <si>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</si>
  <si>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</si>
  <si>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</si>
  <si>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</si>
  <si>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</si>
  <si>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</si>
  <si>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</si>
  <si>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</si>
  <si>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</si>
  <si>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</si>
  <si>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</si>
  <si>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</si>
  <si>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</si>
  <si>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</si>
  <si>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</si>
  <si>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</si>
  <si>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</si>
  <si>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</si>
  <si>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</si>
  <si>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</si>
  <si>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</si>
  <si>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</si>
  <si>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</si>
  <si>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</si>
  <si>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</si>
  <si>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</si>
  <si>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</si>
  <si>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</si>
  <si>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</si>
  <si>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</si>
  <si>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</si>
  <si>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</si>
  <si>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</si>
  <si>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</si>
  <si>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</si>
  <si>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</si>
  <si>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</si>
  <si>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</si>
  <si>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</si>
  <si>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</si>
  <si>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</si>
  <si>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</si>
  <si>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</si>
  <si>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</si>
  <si>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</si>
  <si>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</si>
  <si>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</si>
  <si>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</si>
  <si>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</si>
  <si>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</si>
  <si>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</si>
  <si>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</si>
  <si>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</si>
  <si>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</si>
  <si>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</si>
  <si>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</si>
  <si>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</si>
  <si>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</si>
  <si>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</si>
  <si>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</si>
  <si>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</si>
  <si>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</si>
  <si>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</si>
  <si>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</si>
  <si>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</si>
  <si>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</si>
  <si>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</si>
  <si>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</si>
  <si>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</si>
  <si>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</si>
  <si>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</si>
  <si>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</si>
  <si>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</si>
  <si>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</si>
  <si>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</si>
  <si>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</si>
  <si>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</si>
  <si>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</si>
  <si>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</si>
  <si>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</si>
  <si>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</si>
  <si>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</si>
  <si>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</si>
  <si>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</si>
  <si>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</si>
  <si>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</si>
  <si>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</si>
  <si>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</si>
  <si>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</si>
  <si>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</si>
  <si>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</si>
  <si>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</si>
  <si>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</si>
  <si>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</si>
  <si>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</si>
  <si>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</si>
  <si>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</si>
  <si>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</si>
  <si>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</si>
  <si>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</si>
  <si>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</si>
  <si>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</si>
  <si>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</si>
  <si>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</si>
  <si>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</si>
  <si>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</si>
  <si>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</si>
  <si>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</si>
  <si>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</si>
  <si>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</si>
  <si>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</si>
  <si>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</si>
  <si>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</si>
  <si>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</si>
  <si>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</si>
  <si>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</si>
  <si>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</si>
  <si>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</si>
  <si>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</si>
  <si>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</si>
  <si>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</si>
  <si>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</si>
  <si>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</si>
  <si>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</si>
  <si>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</si>
  <si>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</si>
  <si>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</si>
  <si>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</si>
  <si>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</si>
  <si>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</si>
  <si>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</si>
  <si>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</si>
  <si>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</si>
  <si>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</si>
  <si>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</si>
  <si>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</si>
  <si>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</si>
  <si>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</si>
  <si>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</si>
  <si>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</si>
  <si>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</si>
  <si>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</si>
  <si>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</si>
  <si>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</si>
  <si>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</si>
  <si>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</si>
  <si>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</si>
  <si>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</si>
  <si>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</si>
  <si>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</si>
  <si>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</si>
  <si>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</si>
  <si>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</si>
  <si>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</si>
  <si>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</si>
  <si>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</si>
  <si>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</si>
  <si>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</si>
  <si>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</si>
  <si>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</si>
  <si>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</si>
  <si>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</si>
  <si>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</si>
  <si>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</si>
  <si>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</si>
  <si>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</si>
  <si>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</si>
  <si>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</si>
  <si>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</si>
  <si>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</si>
  <si>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</si>
  <si>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</si>
  <si>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</si>
  <si>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</si>
  <si>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</si>
  <si>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</si>
  <si>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</si>
  <si>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</si>
  <si>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</si>
  <si>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</si>
  <si>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</si>
  <si>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</si>
  <si>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</si>
  <si>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</si>
  <si>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</si>
  <si>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</si>
  <si>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</si>
  <si>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</si>
  <si>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</si>
  <si>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</si>
  <si>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</si>
  <si>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</si>
  <si>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</si>
  <si>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</si>
  <si>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</si>
  <si>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</si>
  <si>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</si>
  <si>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</si>
  <si>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</si>
  <si>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</si>
  <si>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</si>
  <si>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</si>
  <si>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</si>
  <si>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</si>
  <si>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</si>
  <si>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</si>
  <si>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</si>
  <si>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</si>
  <si>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</si>
  <si>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</si>
  <si>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</si>
  <si>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</si>
  <si>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</si>
  <si>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</si>
  <si>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</si>
  <si>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</si>
  <si>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</si>
  <si>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</si>
  <si>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</si>
  <si>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</si>
  <si>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</si>
  <si>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</si>
  <si>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</si>
  <si>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</si>
  <si>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</si>
  <si>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</si>
  <si>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</si>
  <si>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</si>
  <si>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</si>
  <si>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</si>
  <si>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</si>
  <si>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</si>
  <si>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</si>
  <si>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</si>
  <si>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</si>
  <si>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</si>
  <si>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</si>
  <si>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</si>
  <si>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</si>
  <si>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</si>
  <si>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</si>
  <si>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</si>
  <si>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</si>
  <si>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</si>
  <si>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</si>
  <si>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</si>
  <si>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</si>
  <si>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</si>
  <si>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</si>
  <si>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</si>
  <si>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</si>
  <si>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</si>
  <si>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</si>
  <si>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</si>
  <si>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</si>
  <si>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</si>
  <si>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</si>
  <si>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</si>
  <si>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</si>
  <si>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</si>
  <si>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</si>
  <si>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</si>
  <si>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</si>
  <si>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</si>
  <si>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</si>
  <si>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</si>
  <si>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</si>
  <si>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</si>
  <si>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</si>
  <si>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</si>
  <si>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</si>
  <si>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</si>
  <si>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</si>
  <si>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</si>
  <si>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</si>
  <si>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</si>
  <si>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</si>
  <si>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</si>
  <si>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</si>
  <si>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</si>
  <si>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</si>
  <si>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</si>
  <si>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</si>
  <si>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</si>
  <si>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</si>
  <si>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</si>
  <si>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</si>
  <si>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</si>
  <si>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</si>
  <si>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</si>
  <si>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</si>
  <si>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</si>
  <si>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</si>
  <si>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</si>
  <si>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</si>
  <si>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</si>
  <si>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</si>
  <si>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</si>
  <si>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</si>
  <si>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</si>
  <si>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</si>
  <si>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</si>
  <si>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</si>
  <si>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</si>
  <si>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</si>
  <si>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</si>
  <si>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</si>
  <si>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</si>
  <si>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</si>
  <si>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</si>
  <si>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</si>
  <si>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</si>
  <si>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</si>
  <si>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</si>
  <si>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</si>
  <si>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</si>
  <si>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</si>
  <si>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</si>
  <si>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</si>
  <si>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</si>
  <si>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</si>
  <si>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</si>
  <si>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</si>
  <si>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</si>
  <si>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</si>
  <si>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</si>
  <si>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</si>
  <si>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</si>
  <si>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</si>
  <si>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</si>
  <si>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</si>
  <si>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</si>
  <si>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</si>
  <si>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</si>
  <si>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</si>
  <si>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</si>
  <si>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</si>
  <si>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</si>
  <si>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</si>
  <si>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</si>
  <si>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</si>
  <si>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</si>
  <si>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</si>
  <si>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</si>
  <si>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</si>
  <si>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</si>
  <si>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</si>
  <si>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</si>
  <si>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</si>
  <si>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</si>
  <si>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</si>
  <si>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</si>
  <si>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</si>
  <si>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</si>
  <si>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</si>
  <si>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</si>
  <si>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</si>
  <si>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</si>
  <si>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</si>
  <si>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</si>
  <si>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</si>
  <si>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</si>
  <si>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</si>
  <si>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</si>
  <si>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</si>
  <si>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</si>
  <si>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</si>
  <si>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</si>
  <si>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</si>
  <si>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</si>
  <si>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</si>
  <si>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</si>
  <si>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</si>
  <si>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</si>
  <si>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</si>
  <si>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</si>
  <si>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</si>
  <si>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</si>
  <si>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</si>
  <si>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</si>
  <si>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</si>
  <si>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</si>
  <si>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</si>
  <si>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</si>
  <si>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</si>
  <si>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</si>
  <si>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</si>
  <si>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</si>
  <si>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</si>
  <si>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</si>
  <si>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</si>
  <si>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</si>
  <si>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</si>
  <si>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</si>
  <si>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</si>
  <si>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</si>
  <si>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</si>
  <si>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</si>
  <si>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</si>
  <si>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</si>
  <si>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</si>
  <si>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</si>
  <si>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</si>
  <si>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</si>
  <si>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</si>
  <si>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</si>
  <si>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</si>
  <si>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</si>
  <si>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</si>
  <si>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</si>
  <si>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</si>
  <si>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</si>
  <si>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</si>
  <si>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</si>
  <si>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</si>
  <si>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</si>
  <si>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</si>
  <si>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</si>
  <si>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</si>
  <si>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</si>
  <si>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</si>
  <si>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</si>
  <si>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</si>
  <si>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</si>
  <si>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</si>
  <si>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</si>
  <si>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</si>
  <si>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</si>
  <si>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</si>
  <si>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</si>
  <si>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</si>
  <si>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</si>
  <si>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</si>
  <si>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</si>
  <si>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</si>
  <si>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</si>
  <si>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</si>
  <si>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</si>
  <si>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</si>
  <si>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</si>
  <si>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</si>
  <si>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</si>
  <si>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</si>
  <si>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</si>
  <si>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</si>
  <si>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</si>
  <si>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</si>
  <si>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</si>
  <si>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</si>
  <si>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</si>
  <si>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</si>
  <si>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</si>
  <si>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</si>
  <si>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</si>
  <si>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</si>
  <si>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</si>
  <si>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</si>
  <si>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</si>
  <si>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</si>
  <si>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</si>
  <si>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</si>
  <si>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</si>
  <si>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</si>
  <si>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</si>
  <si>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</si>
  <si>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</si>
  <si>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</si>
  <si>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</si>
  <si>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</si>
  <si>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</si>
  <si>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</si>
  <si>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</si>
  <si>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</si>
  <si>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</si>
  <si>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</si>
  <si>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</si>
  <si>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</si>
  <si>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</si>
  <si>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</si>
  <si>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</si>
  <si>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</si>
  <si>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</si>
  <si>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</si>
  <si>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</si>
  <si>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</si>
  <si>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</si>
  <si>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</si>
  <si>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</si>
  <si>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</si>
  <si>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</si>
  <si>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</si>
  <si>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</si>
  <si>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</si>
  <si>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</si>
  <si>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</si>
  <si>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</si>
  <si>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</si>
  <si>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</si>
  <si>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</si>
  <si>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</si>
  <si>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</si>
  <si>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</si>
  <si>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</si>
  <si>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</si>
  <si>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</si>
  <si>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</si>
  <si>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</si>
  <si>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</si>
  <si>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</si>
  <si>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</si>
  <si>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</si>
  <si>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</si>
  <si>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</si>
  <si>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</si>
  <si>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</si>
  <si>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</si>
  <si>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</si>
  <si>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</si>
  <si>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</si>
  <si>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</si>
  <si>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</si>
  <si>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</si>
  <si>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</si>
  <si>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</si>
  <si>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</si>
  <si>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</si>
  <si>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</si>
  <si>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</si>
  <si>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</si>
  <si>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</si>
  <si>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</si>
  <si>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</si>
  <si>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</si>
  <si>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</si>
  <si>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</si>
  <si>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</si>
  <si>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</si>
  <si>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</si>
  <si>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</si>
  <si>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</si>
  <si>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</si>
  <si>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</si>
  <si>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</si>
  <si>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</si>
  <si>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</si>
  <si>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</si>
  <si>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</si>
  <si>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</si>
  <si>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</si>
  <si>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</si>
  <si>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</si>
  <si>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</si>
  <si>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</si>
  <si>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</si>
  <si>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</si>
  <si>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</si>
  <si>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</si>
  <si>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</si>
  <si>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</si>
  <si>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</si>
  <si>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</si>
  <si>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</si>
  <si>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</si>
  <si>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</si>
  <si>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</si>
  <si>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</si>
  <si>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</si>
  <si>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</si>
  <si>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</si>
  <si>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</si>
  <si>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</si>
  <si>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</si>
  <si>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</si>
  <si>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</si>
  <si>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</si>
  <si>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</si>
  <si>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</si>
  <si>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</si>
  <si>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</si>
  <si>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</si>
  <si>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</si>
  <si>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</si>
  <si>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</si>
  <si>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</si>
  <si>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</si>
  <si>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</si>
  <si>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</si>
  <si>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</si>
  <si>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</si>
  <si>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</si>
  <si>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</si>
  <si>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</si>
  <si>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</si>
  <si>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</si>
  <si>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</si>
  <si>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</si>
  <si>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</si>
  <si>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</si>
  <si>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</si>
  <si>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</si>
  <si>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</si>
  <si>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</si>
  <si>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</si>
  <si>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</si>
  <si>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</si>
  <si>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</si>
  <si>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</si>
  <si>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</si>
  <si>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</si>
  <si>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</si>
  <si>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</si>
  <si>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</si>
  <si>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</si>
  <si>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</si>
  <si>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</si>
  <si>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</si>
  <si>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</si>
  <si>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</si>
  <si>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</si>
  <si>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</si>
  <si>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</si>
  <si>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</si>
  <si>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</si>
  <si>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</si>
  <si>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</si>
  <si>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</si>
  <si>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</si>
  <si>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</si>
  <si>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</si>
  <si>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</si>
  <si>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</si>
  <si>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</si>
  <si>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</si>
  <si>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</si>
  <si>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</si>
  <si>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</si>
  <si>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</si>
  <si>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</si>
  <si>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</si>
  <si>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</si>
  <si>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</si>
  <si>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</si>
  <si>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</si>
  <si>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</si>
  <si>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</si>
  <si>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</si>
  <si>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</si>
  <si>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</si>
  <si>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</si>
  <si>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</si>
  <si>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</si>
  <si>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</si>
  <si>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</si>
  <si>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</si>
  <si>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</si>
  <si>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</si>
  <si>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</si>
  <si>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</si>
  <si>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</si>
  <si>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</si>
  <si>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</si>
  <si>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</si>
  <si>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</si>
  <si>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</si>
  <si>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</si>
  <si>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</si>
  <si>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</si>
  <si>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</si>
  <si>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</si>
  <si>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</si>
  <si>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</si>
  <si>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</si>
  <si>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</si>
  <si>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</si>
  <si>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</si>
  <si>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</si>
  <si>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</si>
  <si>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</si>
  <si>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</si>
  <si>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</si>
  <si>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</si>
  <si>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</si>
  <si>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</si>
  <si>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</si>
  <si>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</si>
  <si>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</si>
  <si>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</si>
  <si>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</si>
  <si>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</si>
  <si>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</si>
  <si>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</si>
  <si>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</si>
  <si>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</si>
  <si>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</si>
  <si>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</si>
  <si>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</si>
  <si>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</si>
  <si>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</si>
  <si>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</si>
  <si>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</si>
  <si>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</si>
  <si>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</si>
  <si>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</si>
  <si>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</si>
  <si>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</si>
  <si>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</si>
  <si>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</si>
  <si>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</si>
  <si>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</si>
  <si>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</si>
  <si>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</si>
  <si>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</si>
  <si>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</si>
  <si>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</si>
  <si>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</si>
  <si>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</si>
  <si>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</si>
  <si>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</si>
  <si>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</si>
  <si>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</si>
  <si>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</si>
  <si>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</si>
  <si>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</si>
  <si>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</si>
  <si>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</si>
  <si>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</si>
  <si>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</si>
  <si>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</si>
  <si>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</si>
  <si>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</si>
  <si>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</si>
  <si>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</si>
  <si>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</si>
  <si>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</si>
  <si>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</si>
  <si>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</si>
  <si>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</si>
  <si>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</si>
  <si>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</si>
  <si>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</si>
  <si>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</si>
  <si>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</si>
  <si>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</si>
  <si>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</si>
  <si>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</si>
  <si>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</si>
  <si>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</si>
  <si>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</si>
  <si>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</si>
  <si>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</si>
  <si>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</si>
  <si>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</si>
  <si>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</si>
  <si>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</si>
  <si>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</si>
  <si>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</si>
  <si>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</si>
  <si>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</si>
  <si>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</si>
  <si>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</si>
  <si>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</si>
  <si>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</si>
  <si>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</si>
  <si>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</si>
  <si>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</si>
  <si>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</si>
  <si>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</si>
  <si>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</si>
  <si>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</si>
  <si>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</si>
  <si>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</si>
  <si>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</si>
  <si>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</si>
  <si>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</si>
  <si>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</si>
  <si>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</si>
  <si>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</si>
  <si>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</si>
  <si>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</si>
  <si>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</si>
  <si>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</si>
  <si>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</si>
  <si>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</si>
  <si>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</si>
  <si>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</si>
  <si>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</si>
  <si>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</si>
  <si>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</si>
  <si>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</si>
  <si>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</si>
  <si>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</si>
  <si>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</si>
  <si>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</si>
  <si>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</si>
  <si>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</si>
  <si>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</si>
  <si>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</si>
  <si>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</si>
  <si>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</si>
  <si>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</si>
  <si>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</si>
  <si>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</si>
  <si>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</si>
  <si>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</si>
  <si>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</si>
  <si>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</si>
  <si>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</si>
  <si>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</si>
  <si>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</si>
  <si>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</si>
  <si>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</si>
  <si>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</si>
  <si>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</si>
  <si>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</si>
  <si>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</si>
  <si>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</si>
  <si>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</si>
  <si>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</si>
  <si>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</si>
  <si>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</si>
  <si>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</si>
  <si>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</si>
  <si>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</si>
  <si>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</si>
  <si>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</si>
  <si>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</si>
  <si>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</si>
  <si>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</si>
  <si>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</si>
  <si>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</si>
  <si>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</si>
  <si>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</si>
  <si>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</si>
  <si>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</si>
  <si>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</si>
  <si>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</si>
  <si>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</si>
  <si>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</si>
  <si>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</si>
  <si>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</si>
  <si>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</si>
  <si>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</si>
  <si>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</si>
  <si>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</si>
  <si>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</si>
  <si>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</si>
  <si>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</si>
  <si>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</si>
  <si>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</si>
  <si>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</si>
  <si>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</si>
  <si>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</si>
  <si>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</si>
  <si>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</si>
  <si>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</si>
  <si>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</si>
  <si>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</si>
  <si>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</si>
  <si>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</si>
  <si>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</si>
  <si>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</si>
  <si>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</si>
  <si>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</si>
  <si>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</si>
  <si>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</si>
  <si>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</si>
  <si>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</si>
  <si>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</si>
  <si>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</si>
  <si>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</si>
  <si>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</si>
  <si>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</si>
  <si>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</si>
  <si>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</si>
  <si>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</si>
  <si>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</si>
  <si>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</si>
  <si>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</si>
  <si>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</si>
  <si>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</si>
  <si>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</si>
  <si>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</si>
  <si>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</si>
  <si>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</si>
  <si>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</si>
  <si>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</si>
  <si>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</si>
  <si>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</si>
  <si>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</si>
  <si>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</si>
  <si>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</si>
  <si>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</si>
  <si>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</si>
  <si>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</si>
  <si>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</si>
  <si>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</si>
  <si>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</si>
  <si>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</si>
  <si>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</si>
  <si>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</si>
  <si>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</si>
  <si>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</si>
  <si>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</si>
  <si>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</si>
  <si>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</si>
  <si>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</si>
  <si>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</si>
  <si>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</si>
  <si>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</si>
  <si>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</si>
  <si>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</si>
  <si>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</si>
  <si>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</si>
  <si>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</si>
  <si>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</si>
  <si>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</si>
  <si>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</si>
  <si>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</si>
  <si>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</si>
  <si>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</si>
  <si>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</si>
  <si>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</si>
  <si>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</si>
  <si>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</si>
  <si>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</si>
  <si>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</si>
  <si>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</si>
  <si>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</si>
  <si>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</si>
  <si>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</si>
  <si>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</si>
  <si>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</si>
  <si>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</si>
  <si>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</si>
  <si>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</si>
  <si>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</si>
  <si>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</si>
  <si>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</si>
  <si>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</si>
  <si>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</si>
  <si>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</si>
  <si>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</si>
  <si>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</si>
  <si>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</si>
  <si>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</si>
  <si>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</si>
  <si>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</si>
  <si>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</si>
  <si>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</si>
  <si>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</si>
  <si>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</si>
  <si>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</si>
  <si>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</si>
  <si>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</si>
  <si>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</si>
  <si>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</si>
  <si>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</si>
  <si>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</si>
  <si>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</si>
  <si>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</si>
  <si>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</si>
  <si>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</si>
  <si>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</si>
  <si>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</si>
  <si>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</si>
  <si>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</si>
  <si>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</si>
  <si>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</si>
  <si>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</si>
  <si>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</si>
  <si>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</si>
  <si>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</si>
  <si>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</si>
  <si>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</si>
  <si>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</si>
  <si>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</si>
  <si>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</si>
  <si>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</si>
  <si>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</si>
  <si>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</si>
  <si>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</si>
  <si>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</si>
  <si>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</si>
  <si>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</si>
  <si>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</si>
  <si>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</si>
  <si>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</si>
  <si>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</si>
  <si>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</si>
  <si>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</si>
  <si>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</si>
  <si>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</si>
  <si>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</si>
  <si>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</si>
  <si>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</si>
  <si>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</si>
  <si>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</si>
  <si>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</si>
  <si>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</si>
  <si>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</si>
  <si>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</si>
  <si>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</si>
  <si>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</si>
  <si>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</si>
  <si>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</si>
  <si>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</si>
  <si>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</si>
  <si>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</si>
  <si>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</si>
  <si>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</si>
  <si>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</si>
  <si>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</si>
  <si>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</si>
  <si>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</si>
  <si>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</si>
  <si>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</si>
  <si>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</si>
  <si>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</si>
  <si>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</si>
  <si>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</si>
  <si>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</si>
  <si>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</si>
  <si>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</si>
  <si>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</si>
  <si>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</si>
  <si>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</si>
  <si>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</si>
  <si>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</si>
  <si>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</si>
  <si>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</si>
  <si>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</si>
  <si>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</si>
  <si>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</si>
  <si>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</si>
  <si>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</si>
  <si>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</si>
  <si>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</si>
  <si>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</si>
  <si>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</si>
  <si>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</si>
  <si>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</si>
  <si>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</si>
  <si>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</si>
  <si>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</si>
  <si>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</si>
  <si>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</si>
  <si>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</si>
  <si>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</si>
  <si>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</si>
  <si>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</si>
  <si>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</si>
  <si>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</si>
  <si>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</si>
  <si>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</si>
  <si>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</si>
  <si>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</si>
  <si>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</si>
  <si>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</si>
  <si>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</si>
  <si>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</si>
  <si>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</si>
  <si>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</si>
  <si>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</si>
  <si>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</si>
  <si>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</si>
  <si>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</si>
  <si>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</si>
  <si>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</si>
  <si>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</si>
  <si>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</si>
  <si>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</si>
  <si>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</si>
  <si>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</si>
  <si>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</si>
  <si>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</si>
  <si>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</si>
  <si>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</si>
  <si>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</si>
  <si>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</si>
  <si>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</si>
  <si>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</si>
  <si>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</si>
  <si>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</si>
  <si>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</si>
  <si>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</si>
  <si>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</si>
  <si>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</si>
  <si>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</si>
  <si>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</si>
  <si>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</si>
  <si>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</si>
  <si>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</si>
  <si>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</si>
  <si>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</si>
  <si>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</si>
  <si>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</si>
  <si>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</si>
  <si>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</si>
  <si>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</si>
  <si>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</si>
  <si>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</si>
  <si>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</si>
  <si>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</si>
  <si>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</si>
  <si>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</si>
  <si>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</si>
  <si>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</si>
  <si>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</si>
  <si>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</si>
  <si>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</si>
  <si>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</si>
  <si>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</si>
  <si>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</si>
  <si>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</si>
  <si>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</si>
  <si>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</si>
  <si>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</si>
  <si>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</si>
  <si>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</si>
  <si>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</si>
  <si>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</si>
  <si>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</si>
  <si>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</si>
  <si>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</si>
  <si>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</si>
  <si>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</si>
  <si>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</si>
  <si>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</si>
  <si>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</si>
  <si>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</si>
  <si>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</si>
  <si>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</si>
  <si>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</si>
  <si>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</si>
  <si>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</si>
  <si>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</si>
  <si>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</si>
  <si>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</si>
  <si>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</si>
  <si>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</si>
  <si>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</si>
  <si>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</si>
  <si>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</si>
  <si>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</si>
  <si>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</si>
  <si>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</si>
  <si>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</si>
  <si>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</si>
  <si>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</si>
  <si>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</si>
  <si>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</si>
  <si>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</si>
  <si>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</si>
  <si>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</si>
  <si>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</si>
  <si>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</si>
  <si>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</si>
  <si>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</si>
  <si>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</si>
  <si>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</si>
  <si>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</si>
  <si>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</si>
  <si>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</si>
  <si>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</si>
  <si>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</si>
  <si>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</si>
  <si>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</si>
  <si>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</si>
  <si>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</si>
  <si>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</si>
  <si>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</si>
  <si>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</si>
  <si>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</si>
  <si>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</si>
  <si>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</si>
  <si>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</si>
  <si>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</si>
  <si>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</si>
  <si>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</si>
  <si>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</si>
  <si>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</si>
  <si>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</si>
  <si>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</si>
  <si>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</si>
  <si>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</si>
  <si>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</si>
  <si>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</si>
  <si>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</si>
  <si>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</si>
  <si>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</si>
  <si>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</si>
  <si>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</si>
  <si>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</si>
  <si>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</si>
  <si>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</si>
  <si>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</si>
  <si>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</si>
  <si>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</si>
  <si>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</si>
  <si>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</si>
  <si>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</si>
  <si>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</si>
  <si>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</si>
  <si>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</si>
  <si>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</si>
  <si>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</si>
  <si>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</si>
  <si>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</si>
  <si>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</si>
  <si>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</si>
  <si>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</si>
  <si>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</si>
  <si>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</si>
  <si>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</si>
  <si>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</si>
  <si>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</si>
  <si>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</si>
  <si>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</si>
  <si>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</si>
  <si>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</si>
  <si>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</si>
  <si>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</si>
  <si>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</si>
  <si>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</si>
  <si>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</si>
  <si>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</si>
  <si>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</si>
  <si>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</si>
  <si>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</si>
  <si>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</si>
  <si>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</si>
  <si>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</si>
  <si>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</si>
  <si>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</si>
  <si>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</si>
  <si>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</si>
  <si>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</si>
  <si>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</si>
  <si>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</si>
  <si>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</si>
  <si>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</si>
  <si>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</si>
  <si>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</si>
  <si>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</si>
  <si>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</si>
  <si>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</si>
  <si>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</si>
  <si>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</si>
  <si>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</si>
  <si>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</si>
  <si>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</si>
  <si>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</si>
  <si>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</si>
  <si>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</si>
  <si>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</si>
  <si>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</si>
  <si>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</si>
  <si>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</si>
  <si>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</si>
  <si>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</si>
  <si>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</si>
  <si>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</si>
  <si>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</si>
  <si>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</si>
  <si>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</si>
  <si>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</si>
  <si>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</si>
  <si>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</si>
  <si>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</si>
  <si>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</si>
  <si>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</si>
  <si>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</si>
  <si>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</si>
  <si>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</si>
  <si>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</si>
  <si>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</si>
  <si>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</si>
  <si>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</si>
  <si>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</si>
  <si>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</si>
  <si>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</si>
  <si>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</si>
  <si>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</si>
  <si>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</si>
  <si>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</si>
  <si>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</si>
  <si>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</si>
  <si>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</si>
  <si>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</si>
  <si>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</si>
  <si>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</si>
  <si>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</si>
  <si>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</si>
  <si>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</si>
  <si>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</si>
  <si>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</si>
  <si>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</si>
  <si>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</si>
  <si>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</si>
  <si>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</si>
  <si>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</si>
  <si>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</si>
  <si>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</si>
  <si>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</si>
  <si>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</si>
  <si>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</si>
  <si>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</si>
  <si>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</si>
  <si>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</si>
  <si>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</si>
  <si>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</si>
  <si>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</si>
  <si>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</si>
  <si>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</si>
  <si>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</si>
  <si>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</si>
  <si>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</si>
  <si>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</si>
  <si>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</si>
  <si>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</si>
  <si>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</si>
  <si>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</si>
  <si>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</si>
  <si>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</si>
  <si>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</si>
  <si>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</si>
  <si>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</si>
  <si>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</si>
  <si>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</si>
  <si>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</si>
  <si>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</si>
  <si>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</si>
  <si>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</si>
  <si>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</si>
  <si>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</si>
  <si>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</si>
  <si>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</si>
  <si>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</si>
  <si>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</si>
  <si>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</si>
  <si>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</si>
  <si>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</si>
  <si>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</si>
  <si>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</si>
  <si>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</si>
  <si>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</si>
  <si>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</si>
  <si>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</si>
  <si>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</si>
  <si>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</si>
  <si>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</si>
  <si>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</si>
  <si>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</si>
  <si>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</si>
  <si>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</si>
  <si>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</si>
  <si>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</si>
  <si>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</si>
  <si>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</si>
  <si>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</si>
  <si>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</si>
  <si>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</si>
  <si>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</si>
  <si>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</si>
  <si>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</si>
  <si>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</si>
  <si>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</si>
  <si>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</si>
  <si>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</si>
  <si>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</si>
  <si>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</si>
  <si>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</si>
  <si>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</si>
  <si>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</si>
  <si>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</si>
  <si>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</si>
  <si>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</si>
  <si>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</si>
  <si>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</si>
  <si>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</si>
  <si>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</si>
  <si>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</si>
  <si>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</si>
  <si>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</si>
  <si>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</si>
  <si>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</si>
  <si>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</si>
  <si>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</si>
  <si>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</si>
  <si>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</si>
  <si>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</si>
  <si>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</si>
  <si>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</si>
  <si>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</si>
  <si>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</si>
  <si>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</si>
  <si>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</si>
  <si>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</si>
  <si>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</si>
  <si>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</si>
  <si>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</si>
  <si>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</si>
  <si>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</si>
  <si>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</si>
  <si>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</si>
  <si>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</si>
  <si>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</si>
  <si>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</si>
  <si>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</si>
  <si>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</si>
  <si>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</si>
  <si>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</si>
  <si>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</si>
  <si>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</si>
  <si>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</si>
  <si>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</si>
  <si>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</si>
  <si>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</si>
  <si>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</si>
  <si>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</si>
  <si>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</si>
  <si>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</si>
  <si>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</si>
  <si>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</si>
  <si>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</si>
  <si>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</si>
  <si>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</si>
  <si>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</si>
  <si>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</si>
  <si>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</si>
  <si>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</si>
  <si>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</si>
  <si>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</si>
  <si>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</si>
  <si>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</si>
  <si>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</si>
  <si>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</si>
  <si>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</si>
  <si>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</si>
  <si>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</si>
  <si>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</si>
  <si>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</si>
  <si>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</si>
  <si>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</si>
  <si>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</si>
  <si>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</si>
  <si>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</si>
  <si>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</si>
  <si>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</si>
  <si>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</si>
  <si>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</si>
  <si>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</si>
  <si>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</si>
  <si>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</si>
  <si>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</si>
  <si>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</si>
  <si>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</si>
  <si>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</si>
  <si>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</si>
  <si>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</si>
  <si>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</si>
  <si>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</si>
  <si>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</si>
  <si>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</si>
  <si>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</si>
  <si>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</si>
  <si>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</si>
  <si>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</si>
  <si>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</si>
  <si>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</si>
  <si>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</si>
  <si>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</si>
  <si>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</si>
  <si>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</si>
  <si>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</si>
  <si>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</si>
  <si>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</si>
  <si>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</si>
  <si>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</si>
  <si>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</si>
  <si>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</si>
  <si>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</si>
  <si>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</si>
  <si>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</si>
  <si>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</si>
  <si>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</si>
  <si>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</si>
  <si>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</si>
  <si>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</si>
  <si>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</si>
  <si>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</si>
  <si>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</si>
  <si>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</si>
  <si>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</si>
  <si>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</si>
  <si>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</si>
  <si>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</si>
  <si>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</si>
  <si>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</si>
  <si>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</si>
  <si>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</si>
  <si>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</si>
  <si>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</si>
  <si>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</si>
  <si>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</si>
  <si>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</si>
  <si>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</si>
  <si>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</si>
  <si>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</si>
  <si>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</si>
  <si>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</si>
  <si>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</si>
  <si>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</si>
  <si>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</si>
  <si>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</si>
  <si>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</si>
  <si>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</si>
  <si>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</si>
  <si>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</si>
  <si>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</si>
  <si>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</si>
  <si>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</si>
  <si>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</si>
  <si>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</si>
  <si>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</si>
  <si>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</si>
  <si>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</si>
  <si>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</si>
  <si>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</si>
  <si>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</si>
  <si>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</si>
  <si>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</si>
  <si>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</si>
  <si>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</si>
  <si>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</si>
  <si>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</si>
  <si>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</si>
  <si>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</si>
  <si>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</si>
  <si>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</si>
  <si>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</si>
  <si>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</si>
  <si>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</si>
  <si>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</si>
  <si>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</si>
  <si>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</si>
  <si>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</si>
  <si>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</si>
  <si>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</si>
  <si>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</si>
  <si>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</si>
  <si>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</si>
  <si>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</si>
  <si>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</si>
  <si>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</si>
  <si>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</si>
  <si>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</si>
  <si>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</si>
  <si>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</si>
  <si>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</si>
  <si>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</si>
  <si>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</si>
  <si>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</si>
  <si>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</si>
  <si>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</si>
  <si>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</si>
  <si>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</si>
  <si>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</si>
  <si>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</si>
  <si>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</si>
  <si>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</si>
  <si>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</si>
  <si>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</si>
  <si>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</si>
  <si>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</si>
  <si>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</si>
  <si>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</si>
  <si>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</si>
  <si>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</si>
  <si>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</si>
  <si>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</si>
  <si>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</si>
  <si>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</si>
  <si>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</si>
  <si>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</si>
  <si>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</si>
  <si>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</si>
  <si>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</si>
  <si>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</si>
  <si>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</si>
  <si>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</si>
  <si>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</si>
  <si>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</si>
  <si>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</si>
  <si>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</si>
  <si>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</si>
  <si>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</si>
  <si>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</si>
  <si>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</si>
  <si>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</si>
  <si>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</si>
  <si>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</si>
  <si>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</si>
  <si>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</si>
  <si>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</si>
  <si>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</si>
  <si>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</si>
  <si>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</si>
  <si>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</si>
  <si>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</si>
  <si>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</si>
  <si>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</si>
  <si>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</si>
  <si>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</si>
  <si>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</si>
  <si>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</si>
  <si>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</si>
  <si>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</si>
  <si>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</si>
  <si>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</si>
  <si>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</si>
  <si>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</si>
  <si>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</si>
  <si>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</si>
  <si>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</si>
  <si>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</si>
  <si>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</si>
  <si>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</si>
  <si>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</si>
  <si>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</si>
  <si>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</si>
  <si>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</si>
  <si>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</si>
  <si>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</si>
  <si>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</si>
  <si>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</si>
  <si>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</si>
  <si>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</si>
  <si>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</si>
  <si>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</si>
  <si>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</si>
  <si>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</si>
  <si>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</si>
  <si>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</si>
  <si>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</si>
  <si>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</si>
  <si>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</si>
  <si>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</si>
  <si>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</si>
  <si>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</si>
  <si>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</si>
  <si>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</si>
  <si>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</si>
  <si>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</si>
  <si>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</si>
  <si>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</si>
  <si>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</si>
  <si>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</si>
  <si>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</si>
  <si>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</si>
  <si>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</si>
  <si>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</si>
  <si>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</si>
  <si>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</si>
  <si>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</si>
  <si>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</si>
  <si>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</si>
  <si>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</si>
  <si>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</si>
  <si>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</si>
  <si>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</si>
  <si>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</si>
  <si>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</si>
  <si>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</si>
  <si>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</si>
  <si>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</si>
  <si>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</si>
  <si>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</si>
  <si>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</si>
  <si>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</si>
  <si>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</si>
  <si>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</si>
  <si>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</si>
  <si>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</si>
  <si>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</si>
  <si>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</si>
  <si>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</si>
  <si>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</si>
  <si>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</si>
  <si>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</si>
  <si>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</si>
  <si>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</si>
  <si>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</si>
  <si>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</si>
  <si>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</si>
  <si>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</si>
  <si>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</si>
  <si>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</si>
  <si>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</si>
  <si>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</si>
  <si>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</si>
  <si>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</si>
  <si>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</si>
  <si>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</si>
  <si>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</si>
  <si>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</si>
  <si>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</si>
  <si>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</si>
  <si>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</si>
  <si>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</si>
  <si>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</si>
  <si>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</si>
  <si>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</si>
  <si>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</si>
  <si>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</si>
  <si>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</si>
  <si>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</si>
  <si>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</si>
  <si>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</si>
  <si>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</si>
  <si>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</si>
  <si>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</si>
  <si>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</si>
  <si>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</si>
  <si>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</si>
  <si>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</si>
  <si>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</si>
  <si>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</si>
  <si>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</si>
  <si>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</si>
  <si>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</si>
  <si>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</si>
  <si>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</si>
  <si>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</si>
  <si>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</si>
  <si>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</si>
  <si>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</si>
  <si>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</si>
  <si>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</si>
  <si>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</si>
  <si>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</si>
  <si>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</si>
  <si>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</si>
  <si>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</si>
  <si>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</si>
  <si>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</si>
  <si>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</si>
  <si>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</si>
  <si>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</si>
  <si>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</si>
  <si>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</si>
  <si>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</si>
  <si>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</si>
  <si>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</si>
  <si>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</si>
  <si>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</si>
  <si>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</si>
  <si>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</si>
  <si>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</si>
  <si>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</si>
  <si>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</si>
  <si>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</si>
  <si>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</si>
  <si>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</si>
  <si>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</si>
  <si>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</si>
  <si>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</si>
  <si>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</si>
  <si>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</si>
  <si>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</si>
  <si>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</si>
  <si>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</si>
  <si>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</si>
  <si>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</si>
  <si>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</si>
  <si>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</si>
  <si>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</si>
  <si>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</si>
  <si>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</si>
  <si>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</si>
  <si>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</si>
  <si>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</si>
  <si>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</si>
  <si>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</si>
  <si>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</si>
  <si>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</si>
  <si>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</si>
  <si>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</si>
  <si>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</si>
  <si>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</si>
  <si>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</si>
  <si>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</si>
  <si>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</si>
  <si>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</si>
  <si>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</si>
  <si>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</si>
  <si>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</si>
  <si>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</si>
  <si>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</si>
  <si>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</si>
  <si>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</si>
  <si>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</si>
  <si>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</si>
  <si>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</si>
  <si>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</si>
  <si>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</si>
  <si>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</si>
  <si>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</si>
  <si>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</si>
  <si>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</si>
  <si>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</si>
  <si>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</si>
  <si>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</si>
  <si>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</si>
  <si>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</si>
  <si>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</si>
  <si>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</si>
  <si>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</si>
  <si>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</si>
  <si>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</si>
  <si>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</si>
  <si>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</si>
  <si>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</si>
  <si>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</si>
  <si>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</si>
  <si>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</si>
  <si>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</si>
  <si>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</si>
  <si>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</si>
  <si>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</si>
  <si>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</si>
  <si>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</si>
  <si>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</si>
  <si>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</si>
  <si>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</si>
  <si>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</si>
  <si>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</si>
  <si>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</si>
  <si>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</si>
  <si>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</si>
  <si>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</si>
  <si>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</si>
  <si>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</si>
  <si>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</si>
  <si>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</si>
  <si>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</si>
  <si>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</si>
  <si>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</si>
  <si>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</si>
  <si>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</si>
  <si>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</si>
  <si>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</si>
  <si>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</si>
  <si>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</si>
  <si>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</si>
  <si>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</si>
  <si>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</si>
  <si>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</si>
  <si>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</si>
  <si>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</si>
  <si>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</si>
  <si>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</si>
  <si>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</si>
  <si>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</si>
  <si>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</si>
  <si>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</si>
  <si>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</si>
  <si>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</si>
  <si>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</si>
  <si>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</si>
  <si>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</si>
  <si>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</si>
  <si>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</si>
  <si>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</si>
  <si>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</si>
  <si>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</si>
  <si>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</si>
  <si>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</si>
  <si>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</si>
  <si>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</si>
  <si>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</si>
  <si>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</si>
  <si>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</si>
  <si>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</si>
  <si>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</si>
  <si>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</si>
  <si>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</si>
  <si>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</si>
  <si>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</si>
  <si>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</si>
  <si>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</si>
  <si>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</si>
  <si>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</si>
  <si>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</si>
  <si>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</si>
  <si>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</si>
  <si>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</si>
  <si>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</si>
  <si>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</si>
  <si>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</si>
  <si>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</si>
  <si>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</si>
  <si>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</si>
  <si>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</si>
  <si>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</si>
  <si>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</si>
  <si>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</si>
  <si>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</si>
  <si>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</si>
  <si>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</si>
  <si>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</si>
  <si>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</si>
  <si>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</si>
  <si>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</si>
  <si>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</si>
  <si>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</si>
  <si>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</si>
  <si>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</si>
  <si>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</si>
  <si>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</si>
  <si>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</si>
  <si>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</si>
  <si>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</si>
  <si>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</si>
  <si>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</si>
  <si>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</si>
  <si>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</si>
  <si>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</si>
  <si>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</si>
  <si>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</si>
  <si>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</si>
  <si>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</si>
  <si>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</si>
  <si>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</si>
  <si>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</si>
  <si>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</si>
  <si>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</si>
  <si>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</si>
  <si>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</si>
  <si>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</si>
  <si>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</si>
  <si>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</si>
  <si>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</si>
  <si>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</si>
  <si>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</si>
  <si>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</si>
  <si>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</si>
  <si>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</si>
  <si>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</si>
  <si>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</si>
  <si>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</si>
  <si>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</si>
  <si>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</si>
  <si>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</si>
  <si>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</si>
  <si>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</si>
  <si>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</si>
  <si>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</si>
  <si>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</si>
  <si>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</si>
  <si>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</si>
  <si>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</si>
  <si>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</si>
  <si>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</si>
  <si>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</si>
  <si>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</si>
  <si>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</si>
  <si>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</si>
  <si>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</si>
  <si>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</si>
  <si>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</si>
  <si>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</si>
  <si>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</si>
  <si>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</si>
  <si>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</si>
  <si>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</si>
  <si>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</si>
  <si>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</si>
  <si>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</si>
  <si>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</si>
  <si>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</si>
  <si>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</si>
  <si>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</si>
  <si>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</si>
  <si>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</si>
  <si>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</si>
  <si>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</si>
  <si>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</si>
  <si>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</si>
  <si>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</si>
  <si>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</si>
  <si>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</si>
  <si>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</si>
  <si>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</si>
  <si>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</si>
  <si>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</si>
  <si>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</si>
  <si>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</si>
  <si>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</si>
  <si>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</si>
  <si>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</si>
  <si>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</si>
  <si>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</si>
  <si>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</si>
  <si>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</si>
  <si>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</si>
  <si>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</si>
  <si>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</si>
  <si>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</si>
  <si>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</si>
  <si>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</si>
  <si>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</si>
  <si>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</si>
  <si>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</si>
  <si>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</si>
  <si>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</si>
  <si>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</si>
  <si>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</si>
  <si>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</si>
  <si>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</si>
  <si>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</si>
  <si>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</si>
  <si>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</si>
  <si>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</si>
  <si>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</si>
  <si>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</si>
  <si>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</si>
  <si>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</si>
  <si>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</si>
  <si>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</si>
  <si>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</si>
  <si>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</si>
  <si>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</si>
  <si>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</si>
  <si>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</si>
  <si>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</si>
  <si>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</si>
  <si>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</si>
  <si>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</si>
  <si>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</si>
  <si>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</si>
  <si>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</si>
  <si>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</si>
  <si>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</si>
  <si>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</si>
  <si>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</si>
  <si>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</si>
  <si>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</si>
  <si>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</si>
  <si>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</si>
  <si>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</si>
  <si>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</si>
  <si>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</si>
  <si>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</si>
  <si>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</si>
  <si>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</si>
  <si>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</si>
  <si>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</si>
  <si>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</si>
  <si>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</si>
  <si>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</si>
  <si>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</si>
  <si>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</si>
  <si>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</si>
  <si>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</si>
  <si>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</si>
  <si>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</si>
  <si>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</si>
  <si>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</si>
  <si>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</si>
  <si>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</si>
  <si>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</si>
  <si>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</si>
  <si>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</si>
  <si>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</si>
  <si>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</si>
  <si>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</si>
  <si>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</si>
  <si>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</si>
  <si>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</si>
  <si>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</si>
  <si>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</si>
  <si>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</si>
  <si>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</si>
  <si>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</si>
  <si>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</si>
  <si>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</si>
  <si>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</si>
  <si>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</si>
  <si>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</si>
  <si>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</si>
  <si>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</si>
  <si>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</si>
  <si>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</si>
  <si>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</si>
  <si>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</si>
  <si>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</si>
  <si>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</si>
  <si>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</si>
  <si>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</si>
  <si>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</si>
  <si>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</si>
  <si>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</si>
  <si>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</si>
  <si>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</si>
  <si>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</si>
  <si>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</si>
  <si>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</si>
  <si>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</si>
  <si>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</si>
  <si>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</si>
  <si>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</si>
  <si>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</si>
  <si>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</si>
  <si>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</si>
  <si>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</si>
  <si>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</si>
  <si>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</si>
  <si>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</si>
  <si>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</si>
  <si>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</si>
  <si>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</si>
  <si>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</si>
  <si>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</si>
  <si>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</si>
  <si>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</si>
  <si>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</si>
  <si>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</si>
  <si>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</si>
  <si>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</si>
  <si>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</si>
  <si>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</si>
  <si>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</si>
  <si>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</si>
  <si>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</si>
  <si>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</si>
  <si>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</si>
  <si>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</si>
  <si>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</si>
  <si>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</si>
  <si>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</si>
  <si>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</si>
  <si>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</si>
  <si>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</si>
  <si>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</si>
  <si>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</si>
  <si>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</si>
  <si>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</si>
  <si>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</si>
  <si>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</si>
  <si>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</si>
  <si>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</si>
  <si>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</si>
  <si>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</si>
  <si>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</si>
  <si>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</si>
  <si>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</si>
  <si>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</si>
  <si>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</si>
  <si>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</si>
  <si>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</si>
  <si>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</si>
  <si>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</si>
  <si>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</si>
  <si>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</si>
  <si>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</si>
  <si>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</si>
  <si>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</si>
  <si>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</si>
  <si>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</si>
  <si>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</si>
  <si>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</si>
  <si>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</si>
  <si>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</si>
  <si>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</si>
  <si>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</si>
  <si>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</si>
  <si>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</si>
  <si>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</si>
  <si>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</si>
  <si>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</si>
  <si>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</si>
  <si>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</si>
  <si>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</si>
  <si>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</si>
  <si>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</si>
  <si>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</si>
  <si>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</si>
  <si>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</si>
  <si>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</si>
  <si>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</si>
  <si>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</si>
  <si>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</si>
  <si>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</si>
  <si>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</si>
  <si>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</si>
  <si>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</si>
  <si>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</si>
  <si>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</si>
  <si>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</si>
  <si>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</si>
  <si>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</si>
  <si>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</si>
  <si>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</si>
  <si>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</si>
  <si>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</si>
  <si>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</si>
  <si>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</si>
  <si>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</si>
  <si>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</si>
  <si>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</si>
  <si>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</si>
  <si>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</si>
  <si>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</si>
  <si>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</si>
  <si>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</si>
  <si>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</si>
  <si>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</si>
  <si>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</si>
  <si>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</si>
  <si>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</si>
  <si>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</si>
  <si>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</si>
  <si>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</si>
  <si>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</si>
  <si>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</si>
  <si>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</si>
  <si>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</si>
  <si>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</si>
  <si>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</si>
  <si>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</si>
  <si>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</si>
  <si>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</si>
  <si>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</si>
  <si>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</si>
  <si>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</si>
  <si>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</si>
  <si>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</si>
  <si>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</si>
  <si>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</si>
  <si>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</si>
  <si>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</si>
  <si>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</si>
  <si>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</si>
  <si>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</si>
  <si>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</si>
  <si>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</si>
  <si>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</si>
  <si>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</si>
  <si>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</si>
  <si>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</si>
  <si>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</si>
  <si>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</si>
  <si>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</si>
  <si>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</si>
  <si>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</si>
  <si>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</si>
  <si>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</si>
  <si>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</si>
  <si>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</si>
  <si>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</si>
  <si>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</si>
  <si>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</si>
  <si>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</si>
  <si>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</si>
  <si>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</si>
  <si>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</si>
  <si>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</si>
  <si>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</si>
  <si>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</si>
  <si>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</si>
  <si>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</si>
  <si>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</si>
  <si>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</si>
  <si>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</si>
  <si>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</si>
  <si>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</si>
  <si>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</si>
  <si>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</si>
  <si>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</si>
  <si>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</si>
  <si>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</si>
  <si>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</si>
  <si>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</si>
  <si>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</si>
  <si>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</si>
  <si>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</si>
  <si>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</si>
  <si>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</si>
  <si>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</si>
  <si>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</si>
  <si>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</si>
  <si>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</si>
  <si>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</si>
  <si>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</si>
  <si>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</si>
  <si>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</si>
  <si>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</si>
  <si>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</si>
  <si>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</si>
  <si>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</si>
  <si>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</si>
  <si>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</si>
  <si>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</si>
  <si>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</si>
  <si>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</si>
  <si>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</si>
  <si>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</si>
  <si>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</si>
  <si>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</si>
  <si>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</si>
  <si>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</si>
  <si>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</si>
  <si>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</si>
  <si>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</si>
  <si>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</si>
  <si>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</si>
  <si>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</si>
  <si>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</si>
  <si>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</si>
  <si>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</si>
  <si>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</si>
  <si>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</si>
  <si>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</si>
  <si>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</si>
  <si>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</si>
  <si>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</si>
  <si>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</si>
  <si>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</si>
  <si>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</si>
  <si>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</si>
  <si>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</si>
  <si>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</si>
  <si>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</si>
  <si>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</si>
  <si>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</si>
  <si>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</si>
  <si>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</si>
  <si>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</si>
  <si>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</si>
  <si>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</si>
  <si>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</si>
  <si>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</si>
  <si>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</si>
  <si>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</si>
  <si>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</si>
  <si>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</si>
  <si>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</si>
  <si>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</si>
  <si>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</si>
  <si>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</si>
  <si>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</si>
  <si>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</si>
  <si>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</si>
  <si>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</si>
  <si>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</si>
  <si>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</si>
  <si>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</si>
  <si>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</si>
  <si>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</si>
  <si>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</si>
  <si>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</si>
  <si>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</si>
  <si>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</si>
  <si>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</si>
  <si>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</si>
  <si>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</si>
  <si>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</si>
  <si>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</si>
  <si>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</si>
  <si>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</si>
  <si>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</si>
  <si>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</si>
  <si>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</si>
  <si>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</si>
  <si>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</si>
  <si>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</si>
  <si>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</si>
  <si>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</si>
  <si>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</si>
  <si>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</si>
  <si>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</si>
  <si>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</si>
  <si>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</si>
  <si>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</si>
  <si>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</si>
  <si>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</si>
  <si>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</si>
  <si>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</si>
  <si>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</si>
  <si>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</si>
  <si>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</si>
  <si>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</si>
  <si>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</si>
  <si>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</si>
  <si>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</si>
  <si>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</si>
  <si>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</si>
  <si>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</si>
  <si>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</si>
  <si>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</si>
  <si>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</si>
  <si>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</si>
  <si>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</si>
  <si>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</si>
  <si>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</si>
  <si>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</si>
  <si>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</si>
  <si>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</si>
  <si>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</si>
  <si>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</si>
  <si>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</si>
  <si>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</si>
  <si>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</si>
  <si>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</si>
  <si>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</si>
  <si>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</si>
  <si>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</si>
  <si>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</si>
  <si>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</si>
  <si>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</si>
  <si>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</si>
  <si>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</si>
  <si>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</si>
  <si>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</si>
  <si>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</si>
  <si>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</si>
  <si>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</si>
  <si>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</si>
  <si>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</si>
  <si>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</si>
  <si>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</si>
  <si>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</si>
  <si>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</si>
  <si>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</si>
  <si>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</si>
  <si>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</si>
  <si>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</si>
  <si>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</si>
  <si>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</si>
  <si>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</si>
  <si>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</si>
  <si>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</si>
  <si>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</si>
  <si>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</si>
  <si>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</si>
  <si>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</si>
  <si>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</si>
  <si>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</si>
  <si>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</si>
  <si>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</si>
  <si>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</si>
  <si>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</si>
  <si>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</si>
  <si>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</si>
  <si>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</si>
  <si>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</si>
  <si>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</si>
  <si>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</si>
  <si>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</si>
  <si>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</si>
  <si>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</si>
  <si>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</si>
  <si>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</si>
  <si>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</si>
  <si>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</si>
  <si>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</si>
  <si>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</si>
  <si>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</si>
  <si>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</si>
  <si>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</si>
  <si>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</si>
  <si>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</si>
  <si>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</si>
  <si>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</si>
  <si>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</si>
  <si>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</si>
  <si>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</si>
  <si>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</si>
  <si>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</si>
  <si>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</si>
  <si>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</si>
  <si>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</si>
  <si>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</si>
  <si>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</si>
  <si>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</si>
  <si>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</si>
  <si>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</si>
  <si>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</si>
  <si>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</si>
  <si>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</si>
  <si>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</si>
  <si>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</si>
  <si>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</si>
  <si>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</si>
  <si>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</si>
  <si>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</si>
  <si>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</si>
  <si>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</si>
  <si>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</si>
  <si>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</si>
  <si>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</si>
  <si>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</si>
  <si>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</si>
  <si>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</si>
  <si>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</si>
  <si>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</si>
  <si>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</si>
  <si>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</si>
  <si>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</si>
  <si>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</si>
  <si>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</si>
  <si>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</si>
  <si>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</si>
  <si>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</si>
  <si>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</si>
  <si>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</si>
  <si>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</si>
  <si>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</si>
  <si>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</si>
  <si>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</si>
  <si>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</si>
  <si>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</si>
  <si>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</si>
  <si>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</si>
  <si>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</si>
  <si>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</si>
  <si>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</si>
  <si>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</si>
  <si>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</si>
  <si>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</si>
  <si>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</si>
  <si>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</si>
  <si>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</si>
  <si>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</si>
  <si>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</si>
  <si>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</si>
  <si>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</si>
  <si>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</si>
  <si>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</si>
  <si>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</si>
  <si>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</si>
  <si>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</si>
  <si>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</si>
  <si>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</si>
  <si>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</si>
  <si>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</si>
  <si>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</si>
  <si>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</si>
  <si>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</si>
  <si>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</si>
  <si>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</si>
  <si>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</si>
  <si>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</si>
  <si>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</si>
  <si>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</si>
  <si>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</si>
  <si>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</si>
  <si>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</si>
  <si>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</si>
  <si>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</si>
  <si>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</si>
  <si>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</si>
  <si>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</si>
  <si>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</si>
  <si>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</si>
  <si>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</si>
  <si>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</si>
  <si>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</si>
  <si>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</si>
  <si>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</si>
  <si>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</si>
  <si>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</si>
  <si>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</si>
  <si>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</si>
  <si>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</si>
  <si>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</si>
  <si>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</si>
  <si>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</si>
  <si>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</si>
  <si>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</si>
  <si>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</si>
  <si>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</si>
  <si>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</si>
  <si>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</si>
  <si>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</si>
  <si>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</si>
  <si>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</si>
  <si>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</si>
  <si>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</si>
  <si>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</si>
  <si>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</si>
  <si>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</si>
  <si>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</si>
  <si>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</si>
  <si>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</si>
  <si>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</si>
  <si>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</si>
  <si>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</si>
  <si>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</si>
  <si>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</si>
  <si>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</si>
  <si>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</si>
  <si>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</si>
  <si>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</si>
  <si>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</si>
  <si>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</si>
  <si>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</si>
  <si>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</si>
  <si>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</si>
  <si>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</si>
  <si>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</si>
  <si>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</si>
  <si>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</si>
  <si>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</si>
  <si>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</si>
  <si>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</si>
  <si>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</si>
  <si>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</si>
  <si>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</si>
  <si>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</si>
  <si>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</si>
  <si>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</si>
  <si>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</si>
  <si>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</si>
  <si>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</si>
  <si>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</si>
  <si>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</si>
  <si>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</si>
  <si>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</si>
  <si>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</si>
  <si>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</si>
  <si>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</si>
  <si>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</si>
  <si>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</si>
  <si>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</si>
  <si>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</si>
  <si>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</si>
  <si>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</si>
  <si>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</si>
  <si>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</si>
  <si>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</si>
  <si>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</si>
  <si>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</si>
  <si>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</si>
  <si>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</si>
  <si>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</si>
  <si>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</si>
  <si>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</si>
  <si>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</si>
  <si>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</si>
  <si>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</si>
  <si>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</si>
  <si>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</si>
  <si>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</si>
  <si>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</si>
  <si>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</si>
  <si>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</si>
  <si>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</si>
  <si>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</si>
  <si>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</si>
  <si>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</si>
  <si>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</si>
  <si>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</si>
  <si>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</si>
  <si>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</si>
  <si>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</si>
  <si>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</si>
  <si>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</si>
  <si>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</si>
  <si>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</si>
  <si>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</si>
  <si>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</si>
  <si>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</si>
  <si>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</si>
  <si>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</si>
  <si>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</si>
  <si>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</si>
  <si>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</si>
  <si>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</si>
  <si>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</si>
  <si>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</si>
  <si>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</si>
  <si>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</si>
  <si>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</si>
  <si>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</si>
  <si>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</si>
  <si>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</si>
  <si>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</si>
  <si>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</si>
  <si>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</si>
  <si>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</si>
  <si>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</si>
  <si>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</si>
  <si>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</si>
  <si>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</si>
  <si>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</si>
  <si>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</si>
  <si>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</si>
  <si>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</si>
  <si>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</si>
  <si>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</si>
  <si>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</si>
  <si>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</si>
  <si>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</si>
  <si>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</si>
  <si>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</si>
  <si>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</si>
  <si>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</si>
  <si>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</si>
  <si>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</si>
  <si>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</si>
  <si>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</si>
  <si>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</si>
  <si>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</si>
  <si>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</si>
  <si>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</si>
  <si>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</si>
  <si>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</si>
  <si>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</si>
  <si>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</si>
  <si>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</si>
  <si>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</si>
  <si>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</si>
  <si>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</si>
  <si>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</si>
  <si>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</si>
  <si>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</si>
  <si>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</si>
  <si>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</si>
  <si>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</si>
  <si>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</si>
  <si>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</si>
  <si>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</si>
  <si>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</si>
  <si>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</si>
  <si>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</si>
  <si>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</si>
  <si>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</si>
  <si>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</si>
  <si>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</si>
  <si>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</si>
  <si>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</si>
  <si>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</si>
  <si>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</si>
  <si>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</si>
  <si>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</si>
  <si>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</si>
  <si>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</si>
  <si>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</si>
  <si>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</si>
  <si>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</si>
  <si>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</si>
  <si>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</si>
  <si>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</si>
  <si>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</si>
  <si>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</si>
  <si>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</si>
  <si>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</si>
  <si>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</si>
  <si>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</si>
  <si>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</si>
  <si>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</si>
  <si>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</si>
  <si>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</si>
  <si>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</si>
  <si>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</si>
  <si>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</si>
  <si>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</si>
  <si>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</si>
  <si>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</si>
  <si>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</si>
  <si>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</si>
  <si>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</si>
  <si>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</si>
  <si>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</si>
  <si>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</si>
  <si>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</si>
  <si>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</si>
  <si>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</si>
  <si>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</si>
  <si>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</si>
  <si>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</si>
  <si>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</si>
  <si>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</si>
  <si>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</si>
  <si>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</si>
  <si>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</si>
  <si>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</si>
  <si>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</si>
  <si>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</si>
  <si>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</si>
  <si>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</si>
  <si>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</si>
  <si>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</si>
  <si>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</si>
  <si>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</si>
  <si>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</si>
  <si>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</si>
  <si>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</si>
  <si>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</si>
  <si>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</si>
  <si>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</si>
  <si>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</si>
  <si>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</si>
  <si>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</si>
  <si>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</si>
  <si>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</si>
  <si>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</si>
  <si>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</si>
  <si>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</si>
  <si>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</si>
  <si>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</si>
  <si>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</si>
  <si>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</si>
  <si>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</si>
  <si>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</si>
  <si>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</si>
  <si>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</si>
  <si>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</si>
  <si>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</si>
  <si>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</si>
  <si>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</si>
  <si>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</si>
  <si>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</si>
  <si>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</si>
  <si>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</si>
  <si>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</si>
  <si>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</si>
  <si>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</si>
  <si>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</si>
  <si>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</si>
  <si>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</si>
  <si>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</si>
  <si>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</si>
  <si>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</si>
  <si>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</si>
  <si>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</si>
  <si>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</si>
  <si>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</si>
  <si>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</si>
  <si>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</si>
  <si>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</si>
  <si>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</si>
  <si>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</si>
  <si>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</si>
  <si>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</si>
  <si>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</si>
  <si>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</si>
  <si>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</si>
  <si>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</si>
  <si>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</si>
  <si>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</si>
  <si>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</si>
  <si>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</si>
  <si>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</si>
  <si>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</si>
  <si>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</si>
  <si>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</si>
  <si>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</si>
  <si>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</si>
  <si>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</si>
  <si>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</si>
  <si>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</si>
  <si>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</si>
  <si>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</si>
  <si>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</si>
  <si>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</si>
  <si>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</si>
  <si>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</si>
  <si>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</si>
  <si>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</si>
  <si>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</si>
  <si>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</si>
  <si>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</si>
  <si>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</si>
  <si>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</si>
  <si>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</si>
  <si>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</si>
  <si>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</si>
  <si>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</si>
  <si>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</si>
  <si>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</si>
  <si>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</si>
  <si>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</si>
  <si>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</si>
  <si>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</si>
  <si>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</si>
  <si>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</si>
  <si>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</si>
  <si>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</si>
  <si>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</si>
  <si>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</si>
  <si>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</si>
  <si>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</si>
  <si>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</si>
  <si>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</si>
  <si>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</si>
  <si>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</si>
  <si>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</si>
  <si>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</si>
  <si>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</si>
  <si>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</si>
  <si>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</si>
  <si>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</si>
  <si>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</si>
  <si>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</si>
  <si>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</si>
  <si>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</si>
  <si>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</si>
  <si>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</si>
  <si>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</si>
  <si>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</si>
  <si>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</si>
  <si>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</si>
  <si>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</si>
  <si>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</si>
  <si>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</si>
  <si>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</si>
  <si>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</si>
  <si>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</si>
  <si>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</si>
  <si>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</si>
  <si>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</si>
  <si>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</si>
  <si>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</si>
  <si>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</si>
  <si>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</si>
  <si>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</si>
  <si>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</si>
  <si>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</si>
  <si>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</si>
  <si>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</si>
  <si>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</si>
  <si>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</si>
  <si>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</si>
  <si>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</si>
  <si>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</si>
  <si>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</si>
  <si>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</si>
  <si>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</si>
  <si>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</si>
  <si>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</si>
  <si>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</si>
  <si>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</si>
  <si>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</si>
  <si>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</si>
  <si>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</si>
  <si>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</si>
  <si>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</si>
  <si>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</si>
  <si>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</si>
  <si>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</si>
  <si>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</si>
  <si>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</si>
  <si>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</si>
  <si>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</si>
  <si>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</si>
  <si>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</si>
  <si>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</si>
  <si>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</si>
  <si>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</si>
  <si>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</si>
  <si>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</si>
  <si>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</si>
  <si>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</si>
  <si>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</si>
  <si>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</si>
  <si>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</si>
  <si>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</si>
  <si>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</si>
  <si>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</si>
  <si>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</si>
  <si>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</si>
  <si>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</si>
  <si>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</si>
  <si>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</si>
  <si>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</si>
  <si>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</si>
  <si>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</si>
  <si>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</si>
  <si>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</si>
  <si>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</si>
  <si>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</si>
  <si>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</si>
  <si>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</si>
  <si>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</si>
  <si>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</si>
  <si>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</si>
  <si>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</si>
  <si>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</si>
  <si>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</si>
  <si>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</si>
  <si>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</si>
  <si>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</si>
  <si>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</si>
  <si>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</si>
  <si>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</si>
  <si>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</si>
  <si>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</si>
  <si>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</si>
  <si>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</si>
  <si>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</si>
  <si>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</si>
  <si>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</si>
  <si>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</si>
  <si>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</si>
  <si>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</si>
  <si>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</si>
  <si>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</si>
  <si>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</si>
  <si>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</si>
  <si>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</si>
  <si>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</si>
  <si>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</si>
  <si>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</si>
  <si>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</si>
  <si>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</si>
  <si>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</si>
  <si>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</si>
  <si>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</si>
  <si>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</si>
  <si>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</si>
  <si>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</si>
  <si>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</si>
  <si>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</si>
  <si>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</si>
  <si>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</si>
  <si>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</si>
  <si>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</si>
  <si>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</si>
  <si>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</si>
  <si>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</si>
  <si>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</si>
  <si>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</si>
  <si>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</si>
  <si>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</si>
  <si>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</si>
  <si>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</si>
  <si>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</si>
  <si>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</si>
  <si>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</si>
  <si>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</si>
  <si>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</si>
  <si>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</si>
  <si>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</si>
  <si>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</si>
  <si>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</si>
  <si>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</si>
  <si>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</si>
  <si>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</si>
  <si>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</si>
  <si>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</si>
  <si>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</si>
  <si>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</si>
  <si>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</si>
  <si>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</si>
  <si>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</si>
  <si>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</si>
  <si>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</si>
  <si>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</si>
  <si>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</si>
  <si>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</si>
  <si>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</si>
  <si>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</si>
  <si>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</si>
  <si>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</si>
  <si>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</si>
  <si>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</si>
  <si>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</si>
  <si>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</si>
  <si>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</si>
  <si>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</si>
  <si>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</si>
  <si>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</si>
  <si>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</si>
  <si>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</si>
  <si>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</si>
  <si>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</si>
  <si>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</si>
  <si>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</si>
  <si>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</si>
  <si>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</si>
  <si>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</si>
  <si>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</si>
  <si>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</si>
  <si>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</si>
  <si>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</si>
  <si>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</si>
  <si>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</si>
  <si>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</si>
  <si>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</si>
  <si>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</si>
  <si>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</si>
  <si>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</si>
  <si>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</si>
  <si>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</si>
  <si>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</si>
  <si>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</si>
  <si>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</si>
  <si>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</si>
  <si>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</si>
  <si>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</si>
  <si>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</si>
  <si>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</si>
  <si>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</si>
  <si>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</si>
  <si>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</si>
  <si>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</si>
  <si>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</si>
  <si>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</si>
  <si>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</si>
  <si>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</si>
  <si>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</si>
  <si>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</si>
  <si>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</si>
  <si>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</si>
  <si>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</si>
  <si>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</si>
  <si>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</si>
  <si>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</si>
  <si>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</si>
  <si>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</si>
  <si>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</si>
  <si>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</si>
  <si>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</si>
  <si>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</si>
  <si>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</si>
  <si>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</si>
  <si>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</si>
  <si>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</si>
  <si>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</si>
  <si>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</si>
  <si>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</si>
  <si>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</si>
  <si>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</si>
  <si>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</si>
  <si>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</si>
  <si>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</si>
  <si>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</si>
  <si>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</si>
  <si>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</si>
  <si>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</si>
  <si>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</si>
  <si>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</si>
  <si>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</si>
  <si>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</si>
  <si>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</si>
  <si>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</si>
  <si>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</si>
  <si>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</si>
  <si>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</si>
  <si>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</si>
  <si>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</si>
  <si>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</si>
  <si>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</si>
  <si>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</si>
  <si>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</si>
  <si>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</si>
  <si>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</si>
  <si>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</si>
  <si>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</si>
  <si>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</si>
  <si>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</si>
  <si>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</si>
  <si>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</si>
  <si>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</si>
  <si>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</si>
  <si>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</si>
  <si>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</si>
  <si>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</si>
  <si>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</si>
  <si>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</si>
  <si>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</si>
  <si>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</si>
  <si>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</si>
  <si>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</si>
  <si>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</si>
  <si>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</si>
  <si>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</si>
  <si>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</si>
  <si>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</si>
  <si>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</si>
  <si>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</si>
  <si>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</si>
  <si>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</si>
  <si>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</si>
  <si>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</si>
  <si>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</si>
  <si>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</si>
  <si>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</si>
  <si>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</si>
  <si>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</si>
  <si>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</si>
  <si>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</si>
  <si>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</si>
  <si>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</si>
  <si>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</si>
  <si>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</si>
  <si>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</si>
  <si>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</si>
  <si>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</si>
  <si>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</si>
  <si>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</si>
  <si>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</si>
  <si>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</si>
  <si>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</si>
  <si>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</si>
  <si>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</si>
  <si>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</si>
  <si>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</si>
  <si>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</si>
  <si>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</si>
  <si>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</si>
  <si>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</si>
  <si>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</si>
  <si>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</si>
  <si>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</si>
  <si>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</si>
  <si>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</si>
  <si>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</si>
  <si>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</si>
  <si>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</si>
  <si>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</si>
  <si>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</si>
  <si>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</si>
  <si>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</si>
  <si>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</si>
  <si>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</si>
  <si>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</si>
  <si>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</si>
  <si>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</si>
  <si>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</si>
  <si>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</si>
  <si>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</si>
  <si>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</si>
  <si>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</si>
  <si>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</si>
  <si>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</si>
  <si>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</si>
  <si>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</si>
  <si>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</si>
  <si>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</si>
  <si>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</si>
  <si>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</si>
  <si>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</si>
  <si>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</si>
  <si>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</si>
  <si>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</si>
  <si>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</si>
  <si>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</si>
  <si>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</si>
  <si>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</si>
  <si>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</si>
  <si>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</si>
  <si>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</si>
  <si>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</si>
  <si>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</si>
  <si>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</si>
  <si>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</si>
  <si>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</si>
  <si>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</si>
  <si>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</si>
  <si>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</si>
  <si>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</si>
  <si>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</si>
  <si>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</si>
  <si>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</si>
  <si>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</si>
  <si>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</si>
  <si>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</si>
  <si>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</si>
  <si>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</si>
  <si>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</si>
  <si>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</si>
  <si>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</si>
  <si>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</si>
  <si>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</si>
  <si>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</si>
  <si>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</si>
  <si>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</si>
  <si>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</si>
  <si>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</si>
  <si>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</si>
  <si>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</si>
  <si>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</si>
  <si>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</si>
  <si>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</si>
  <si>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</si>
  <si>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</si>
  <si>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</si>
  <si>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</si>
  <si>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</si>
  <si>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</si>
  <si>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</si>
  <si>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</si>
  <si>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</si>
  <si>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</si>
  <si>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</si>
  <si>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</si>
  <si>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</si>
  <si>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</si>
  <si>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</si>
  <si>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</si>
  <si>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</si>
  <si>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</si>
  <si>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</si>
  <si>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</si>
  <si>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</si>
  <si>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</si>
  <si>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</si>
  <si>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</si>
  <si>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</si>
  <si>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</si>
  <si>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</si>
  <si>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</si>
  <si>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</si>
  <si>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</si>
  <si>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</si>
  <si>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</si>
  <si>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</si>
  <si>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</si>
  <si>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</si>
  <si>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</si>
  <si>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</si>
  <si>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</si>
  <si>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</si>
  <si>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</si>
  <si>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</si>
  <si>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</si>
  <si>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</si>
  <si>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</si>
  <si>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</si>
  <si>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</si>
  <si>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</si>
  <si>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</si>
  <si>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</si>
  <si>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</si>
  <si>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</si>
  <si>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</si>
  <si>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</si>
  <si>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</si>
  <si>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</si>
  <si>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</si>
  <si>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</si>
  <si>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</si>
  <si>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</si>
  <si>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</si>
  <si>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</si>
  <si>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</si>
  <si>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</si>
  <si>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</si>
  <si>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</si>
  <si>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</si>
  <si>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</si>
  <si>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</si>
  <si>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</si>
  <si>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</si>
  <si>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</si>
  <si>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</si>
  <si>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</si>
  <si>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</si>
  <si>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</si>
  <si>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</si>
  <si>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</si>
  <si>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</si>
  <si>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</si>
  <si>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</si>
  <si>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</si>
  <si>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</si>
  <si>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</si>
  <si>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</si>
  <si>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</si>
  <si>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</si>
  <si>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</si>
  <si>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</si>
  <si>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</si>
  <si>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</si>
  <si>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</si>
  <si>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</si>
  <si>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</si>
  <si>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</si>
  <si>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</si>
  <si>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</si>
  <si>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</si>
  <si>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</si>
  <si>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</si>
  <si>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</si>
  <si>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</si>
  <si>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</si>
  <si>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</si>
  <si>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</si>
  <si>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</si>
  <si>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</si>
  <si>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</si>
  <si>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</si>
  <si>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</si>
  <si>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</si>
  <si>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</si>
  <si>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</si>
  <si>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</si>
  <si>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</si>
  <si>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</si>
  <si>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</si>
  <si>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</si>
  <si>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</si>
  <si>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</si>
  <si>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</si>
  <si>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</si>
  <si>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</si>
  <si>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</si>
  <si>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</si>
  <si>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</si>
  <si>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</si>
  <si>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</si>
  <si>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</si>
  <si>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</si>
  <si>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</si>
  <si>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</si>
  <si>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</si>
  <si>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</si>
  <si>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</si>
  <si>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</si>
  <si>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</si>
  <si>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</si>
  <si>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</si>
  <si>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</si>
  <si>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</si>
  <si>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</si>
  <si>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</si>
  <si>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</si>
  <si>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</si>
  <si>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</si>
  <si>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</si>
  <si>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</si>
  <si>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</si>
  <si>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</si>
  <si>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</si>
  <si>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</si>
  <si>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</si>
  <si>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</si>
  <si>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</si>
  <si>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</si>
  <si>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</si>
  <si>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</si>
  <si>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</si>
  <si>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</si>
  <si>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</si>
  <si>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</si>
  <si>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</si>
  <si>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</si>
  <si>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</si>
  <si>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</si>
  <si>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</si>
  <si>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</si>
  <si>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</si>
  <si>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</si>
  <si>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</si>
  <si>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</si>
  <si>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</si>
  <si>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</si>
  <si>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</si>
  <si>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</si>
  <si>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</si>
  <si>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</si>
  <si>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</si>
  <si>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</si>
  <si>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</si>
  <si>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</si>
  <si>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</si>
  <si>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</si>
  <si>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</si>
  <si>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</si>
  <si>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</si>
  <si>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</si>
  <si>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</si>
  <si>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</si>
  <si>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</si>
  <si>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</si>
  <si>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</si>
  <si>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</si>
  <si>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</si>
  <si>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</si>
  <si>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</si>
  <si>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</si>
  <si>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</si>
  <si>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</si>
  <si>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</si>
  <si>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</si>
  <si>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</si>
  <si>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</si>
  <si>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</si>
  <si>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</si>
  <si>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</si>
  <si>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</si>
  <si>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</si>
  <si>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</si>
  <si>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</si>
  <si>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</si>
  <si>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</si>
  <si>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</si>
  <si>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</si>
  <si>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</si>
  <si>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</si>
  <si>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</si>
  <si>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</si>
  <si>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</si>
  <si>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</si>
  <si>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</si>
  <si>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</si>
  <si>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</si>
  <si>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</si>
  <si>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</si>
  <si>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</si>
  <si>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</si>
  <si>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</si>
  <si>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</si>
  <si>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</si>
  <si>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</si>
  <si>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</si>
  <si>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</si>
  <si>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</si>
  <si>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</si>
  <si>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</si>
  <si>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</si>
  <si>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</si>
  <si>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</si>
  <si>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</si>
  <si>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</si>
  <si>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</si>
  <si>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</si>
  <si>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</si>
  <si>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</si>
  <si>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</si>
  <si>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</si>
  <si>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</si>
  <si>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</si>
  <si>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</si>
  <si>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</si>
  <si>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</si>
  <si>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</si>
  <si>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</si>
  <si>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</si>
  <si>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</si>
  <si>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</si>
  <si>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</si>
  <si>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</si>
  <si>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</si>
  <si>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</si>
  <si>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</si>
  <si>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</si>
  <si>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</si>
  <si>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</si>
  <si>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</si>
  <si>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</si>
  <si>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</si>
  <si>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</si>
  <si>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</si>
  <si>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</si>
  <si>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</si>
  <si>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</si>
  <si>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</si>
  <si>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</si>
  <si>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</si>
  <si>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</si>
  <si>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</si>
  <si>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</si>
  <si>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</si>
  <si>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</si>
  <si>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</si>
  <si>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</si>
  <si>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</si>
  <si>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</si>
  <si>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</si>
  <si>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</si>
  <si>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</si>
  <si>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</si>
  <si>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</si>
  <si>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</si>
  <si>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</si>
  <si>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</si>
  <si>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</si>
  <si>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</si>
  <si>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</si>
  <si>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</si>
  <si>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</si>
  <si>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</si>
  <si>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</si>
  <si>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</si>
  <si>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</si>
  <si>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</si>
  <si>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</si>
  <si>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</si>
  <si>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</si>
  <si>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</si>
  <si>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</si>
  <si>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</si>
  <si>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</si>
  <si>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</si>
  <si>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</si>
  <si>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</si>
  <si>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</si>
  <si>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</si>
  <si>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</si>
  <si>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</si>
  <si>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</si>
  <si>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</si>
  <si>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</si>
  <si>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</si>
  <si>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</si>
  <si>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</si>
  <si>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</si>
  <si>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</si>
  <si>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</si>
  <si>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</si>
  <si>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</si>
  <si>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</si>
  <si>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</si>
  <si>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</si>
  <si>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</si>
  <si>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</si>
  <si>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</si>
  <si>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</si>
  <si>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</si>
  <si>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</si>
  <si>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</si>
  <si>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</si>
  <si>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</si>
  <si>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</si>
  <si>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</si>
  <si>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</si>
  <si>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</si>
  <si>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</si>
  <si>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</si>
  <si>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</si>
  <si>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</si>
  <si>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</si>
  <si>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</si>
  <si>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</si>
  <si>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</si>
  <si>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</si>
  <si>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</si>
  <si>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</si>
  <si>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</si>
  <si>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</si>
  <si>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</si>
  <si>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</si>
  <si>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</si>
  <si>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</si>
  <si>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</si>
  <si>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</si>
  <si>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</si>
  <si>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</si>
  <si>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</si>
  <si>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</si>
  <si>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</si>
  <si>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</si>
  <si>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</si>
  <si>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</si>
  <si>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</si>
  <si>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</si>
  <si>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</si>
  <si>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</si>
  <si>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</si>
  <si>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</si>
  <si>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</si>
  <si>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</si>
  <si>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</si>
  <si>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</si>
  <si>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</si>
  <si>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</si>
  <si>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</si>
  <si>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</si>
  <si>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</si>
  <si>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</si>
  <si>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</si>
  <si>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</si>
  <si>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</si>
  <si>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</si>
  <si>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</si>
  <si>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</si>
  <si>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</si>
  <si>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</si>
  <si>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</si>
  <si>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</si>
  <si>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</si>
  <si>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</si>
  <si>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</si>
  <si>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</si>
  <si>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</si>
  <si>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</si>
  <si>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</si>
  <si>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</si>
  <si>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</si>
  <si>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</si>
  <si>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</si>
  <si>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</si>
  <si>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</si>
  <si>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</si>
  <si>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</si>
  <si>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</si>
  <si>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</si>
  <si>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</si>
  <si>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</si>
  <si>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</si>
  <si>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</si>
  <si>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</si>
  <si>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</si>
  <si>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</si>
  <si>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</si>
  <si>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</si>
  <si>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</si>
  <si>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</si>
  <si>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</si>
  <si>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</si>
  <si>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</si>
  <si>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</si>
  <si>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</si>
  <si>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</si>
  <si>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</si>
  <si>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</si>
  <si>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</si>
  <si>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</si>
  <si>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</si>
  <si>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</si>
  <si>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</si>
  <si>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</si>
  <si>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</si>
  <si>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</si>
  <si>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</si>
  <si>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</si>
  <si>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</si>
  <si>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</si>
  <si>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</si>
  <si>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</si>
  <si>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</si>
  <si>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</si>
  <si>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</si>
  <si>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</si>
  <si>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</si>
  <si>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</si>
  <si>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</si>
  <si>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</si>
  <si>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</si>
  <si>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</si>
  <si>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</si>
  <si>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</si>
  <si>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</si>
  <si>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</si>
  <si>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</si>
  <si>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</si>
  <si>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</si>
  <si>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</si>
  <si>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</si>
  <si>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</si>
  <si>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</si>
  <si>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</si>
  <si>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</si>
  <si>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</si>
  <si>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</si>
  <si>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</si>
  <si>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</si>
  <si>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</si>
  <si>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</si>
  <si>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</si>
  <si>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</si>
  <si>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</si>
  <si>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</si>
  <si>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</si>
  <si>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</si>
  <si>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</si>
  <si>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</si>
  <si>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</si>
  <si>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</si>
  <si>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</si>
  <si>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</si>
  <si>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</si>
  <si>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</si>
  <si>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</si>
  <si>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</si>
  <si>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</si>
  <si>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</si>
  <si>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</si>
  <si>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</si>
  <si>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</si>
  <si>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</si>
  <si>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</si>
  <si>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</si>
  <si>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</si>
  <si>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</si>
  <si>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</si>
  <si>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</si>
  <si>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</si>
  <si>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</si>
  <si>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</si>
  <si>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</si>
  <si>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</si>
  <si>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</si>
  <si>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</si>
  <si>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</si>
  <si>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</si>
  <si>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</si>
  <si>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</si>
  <si>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</si>
  <si>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</si>
  <si>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</si>
  <si>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</si>
  <si>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</si>
  <si>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</si>
  <si>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</si>
  <si>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</si>
  <si>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</si>
  <si>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</si>
  <si>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</si>
  <si>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</si>
  <si>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</si>
  <si>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</si>
  <si>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</si>
  <si>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</si>
  <si>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</si>
  <si>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</si>
  <si>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</si>
  <si>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</si>
  <si>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</si>
  <si>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</si>
  <si>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</si>
  <si>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</si>
  <si>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</si>
  <si>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</si>
  <si>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</si>
  <si>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</si>
  <si>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</si>
  <si>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</si>
  <si>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</si>
  <si>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</si>
  <si>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</si>
  <si>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</si>
  <si>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</si>
  <si>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</si>
  <si>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</si>
  <si>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</si>
  <si>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</si>
  <si>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</si>
  <si>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</si>
  <si>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</si>
  <si>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</si>
  <si>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</si>
  <si>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</si>
  <si>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</si>
  <si>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</si>
  <si>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</si>
  <si>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</si>
  <si>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</si>
  <si>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</si>
  <si>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</si>
  <si>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</si>
  <si>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</si>
  <si>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</si>
  <si>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</si>
  <si>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</si>
  <si>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</si>
  <si>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</si>
  <si>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</si>
  <si>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</si>
  <si>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</si>
  <si>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</si>
  <si>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</si>
  <si>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</si>
  <si>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</si>
  <si>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</si>
  <si>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</si>
  <si>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</si>
  <si>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</si>
  <si>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</si>
  <si>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</si>
  <si>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</si>
  <si>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</si>
  <si>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</si>
  <si>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</si>
  <si>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</si>
  <si>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</si>
  <si>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</si>
  <si>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</si>
  <si>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</si>
  <si>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</si>
  <si>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</si>
  <si>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</si>
  <si>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</si>
  <si>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</si>
  <si>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</si>
  <si>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</si>
  <si>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</si>
  <si>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</si>
  <si>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</si>
  <si>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</si>
  <si>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</si>
  <si>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</si>
  <si>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</si>
  <si>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</si>
  <si>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</si>
  <si>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</si>
  <si>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</si>
  <si>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</si>
  <si>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</si>
  <si>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</si>
  <si>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</si>
  <si>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</si>
  <si>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</si>
  <si>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</si>
  <si>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</si>
  <si>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</si>
  <si>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</si>
  <si>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</si>
  <si>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</si>
  <si>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</si>
  <si>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</si>
  <si>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</si>
  <si>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</si>
  <si>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</si>
  <si>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</si>
  <si>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</si>
  <si>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</si>
  <si>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</si>
  <si>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</si>
  <si>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</si>
  <si>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</si>
  <si>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</si>
  <si>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</si>
  <si>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</si>
  <si>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</si>
  <si>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</si>
  <si>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</si>
  <si>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</si>
  <si>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</si>
  <si>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</si>
  <si>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</si>
  <si>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</si>
  <si>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</si>
  <si>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</si>
  <si>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</si>
  <si>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</si>
  <si>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</si>
  <si>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</si>
  <si>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</si>
  <si>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</si>
  <si>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</si>
  <si>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</si>
  <si>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</si>
  <si>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</si>
  <si>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</si>
  <si>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</si>
  <si>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</si>
  <si>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</si>
  <si>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</si>
  <si>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</si>
  <si>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</si>
  <si>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</si>
  <si>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</si>
  <si>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</si>
  <si>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</si>
  <si>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</si>
  <si>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</si>
  <si>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</si>
  <si>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</si>
  <si>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</si>
  <si>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</si>
  <si>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</si>
  <si>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</si>
  <si>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</si>
  <si>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</si>
  <si>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</si>
  <si>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</si>
  <si>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</si>
  <si>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</si>
  <si>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</si>
  <si>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</si>
  <si>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</si>
  <si>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</si>
  <si>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</si>
  <si>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</si>
  <si>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</si>
  <si>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</si>
  <si>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</si>
  <si>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</si>
  <si>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</si>
  <si>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</si>
  <si>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</si>
  <si>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</si>
  <si>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</si>
  <si>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</si>
  <si>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</si>
  <si>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</si>
  <si>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</si>
  <si>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</si>
  <si>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</si>
  <si>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</si>
  <si>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</si>
  <si>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</si>
  <si>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</si>
  <si>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</si>
  <si>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</si>
  <si>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</si>
  <si>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</si>
  <si>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</si>
  <si>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</si>
  <si>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</si>
  <si>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</si>
  <si>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</si>
  <si>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</si>
  <si>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</si>
  <si>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</si>
  <si>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</si>
  <si>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</si>
  <si>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</si>
  <si>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</si>
  <si>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</si>
  <si>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</si>
  <si>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</si>
  <si>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</si>
  <si>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</si>
  <si>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</si>
  <si>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</si>
  <si>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</si>
  <si>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</si>
  <si>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</si>
  <si>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</si>
  <si>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</si>
  <si>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</si>
  <si>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</si>
  <si>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</si>
  <si>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</si>
  <si>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</si>
  <si>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</si>
  <si>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</si>
  <si>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</si>
  <si>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</si>
  <si>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</si>
  <si>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</si>
  <si>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</si>
  <si>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</si>
  <si>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</si>
  <si>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</si>
  <si>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</si>
  <si>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</si>
  <si>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</si>
  <si>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</si>
  <si>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</si>
  <si>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</si>
  <si>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</si>
  <si>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</si>
  <si>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</si>
  <si>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</si>
  <si>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</si>
  <si>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</si>
  <si>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</si>
  <si>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</si>
  <si>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</si>
  <si>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</si>
  <si>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</si>
  <si>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</si>
  <si>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</si>
  <si>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</si>
  <si>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</si>
  <si>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</si>
  <si>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</si>
  <si>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</si>
  <si>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</si>
  <si>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</si>
  <si>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</si>
  <si>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</si>
  <si>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</si>
  <si>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</si>
  <si>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</si>
  <si>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</si>
  <si>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</si>
  <si>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</si>
  <si>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</si>
  <si>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</si>
  <si>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</si>
  <si>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</si>
  <si>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</si>
  <si>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</si>
  <si>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</si>
  <si>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</si>
  <si>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</si>
  <si>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</si>
  <si>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</si>
  <si>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</si>
  <si>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</si>
  <si>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</si>
  <si>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</si>
  <si>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</si>
  <si>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</si>
  <si>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</si>
  <si>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</si>
  <si>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</si>
  <si>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</si>
  <si>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</si>
  <si>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</si>
  <si>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</si>
  <si>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</si>
  <si>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</si>
  <si>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</si>
  <si>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</si>
  <si>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</si>
  <si>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</si>
  <si>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</si>
  <si>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</si>
  <si>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</si>
  <si>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</si>
  <si>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</si>
  <si>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</si>
  <si>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</si>
  <si>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</si>
  <si>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</si>
  <si>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</si>
  <si>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</si>
  <si>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</si>
  <si>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</si>
  <si>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</si>
  <si>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</si>
  <si>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</si>
  <si>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</si>
  <si>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</si>
  <si>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</si>
  <si>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</si>
  <si>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</si>
  <si>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</si>
  <si>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</si>
  <si>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</si>
  <si>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</si>
  <si>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</si>
  <si>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</si>
  <si>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</si>
  <si>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</si>
  <si>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</si>
  <si>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</si>
  <si>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</si>
  <si>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</si>
  <si>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</si>
  <si>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</si>
  <si>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</si>
  <si>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</si>
  <si>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</si>
  <si>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</si>
  <si>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</si>
  <si>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</si>
  <si>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</si>
  <si>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</si>
  <si>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</si>
  <si>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</si>
  <si>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</si>
  <si>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</si>
  <si>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</si>
  <si>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</si>
  <si>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</si>
  <si>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</si>
  <si>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</si>
  <si>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</si>
  <si>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</si>
  <si>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</si>
  <si>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</si>
  <si>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</si>
  <si>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</si>
  <si>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</si>
  <si>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</si>
  <si>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</si>
  <si>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</si>
  <si>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</si>
  <si>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</si>
  <si>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</si>
  <si>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</si>
  <si>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</si>
  <si>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</si>
  <si>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</si>
  <si>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</si>
  <si>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</si>
  <si>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</si>
  <si>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</si>
  <si>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</si>
  <si>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</si>
  <si>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</si>
  <si>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</si>
  <si>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</si>
  <si>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</si>
  <si>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</si>
  <si>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</si>
  <si>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</si>
  <si>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</si>
  <si>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</si>
  <si>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</si>
  <si>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</si>
  <si>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</si>
  <si>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</si>
  <si>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</si>
  <si>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</si>
  <si>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</si>
  <si>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</si>
  <si>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</si>
  <si>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</si>
  <si>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</si>
  <si>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</si>
  <si>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</si>
  <si>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</si>
  <si>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</si>
  <si>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</si>
  <si>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</si>
  <si>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</si>
  <si>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</si>
  <si>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</si>
  <si>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</si>
  <si>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</si>
  <si>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</si>
  <si>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</si>
  <si>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</si>
  <si>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</si>
  <si>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</si>
  <si>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</si>
  <si>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</si>
  <si>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</si>
  <si>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</si>
  <si>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</si>
  <si>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</si>
  <si>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</si>
  <si>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</si>
  <si>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</si>
  <si>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</si>
  <si>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</si>
  <si>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</si>
  <si>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</si>
  <si>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</si>
  <si>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</si>
  <si>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</si>
  <si>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</si>
  <si>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</si>
  <si>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</si>
  <si>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</si>
  <si>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</si>
  <si>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</si>
  <si>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</si>
  <si>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</si>
  <si>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</si>
  <si>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</si>
  <si>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</si>
  <si>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</si>
  <si>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</si>
  <si>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</si>
  <si>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</si>
  <si>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</si>
  <si>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</si>
  <si>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</si>
  <si>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</si>
  <si>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</si>
  <si>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</si>
  <si>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</si>
  <si>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</si>
  <si>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</si>
  <si>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</si>
  <si>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</si>
  <si>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</si>
  <si>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</si>
  <si>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</si>
  <si>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</si>
  <si>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</si>
  <si>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</si>
  <si>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</si>
  <si>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</si>
  <si>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</si>
  <si>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</si>
  <si>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</si>
  <si>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</si>
  <si>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</si>
  <si>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</si>
  <si>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</si>
  <si>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</si>
  <si>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</si>
  <si>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</si>
  <si>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</si>
  <si>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</si>
  <si>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</si>
  <si>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</si>
  <si>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</si>
  <si>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</si>
  <si>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</si>
  <si>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</si>
  <si>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</si>
  <si>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</si>
  <si>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</si>
  <si>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</si>
  <si>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</si>
  <si>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</si>
  <si>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</si>
  <si>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</si>
  <si>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</si>
  <si>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</si>
  <si>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</si>
  <si>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</si>
  <si>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</si>
  <si>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</si>
  <si>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</si>
  <si>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</si>
  <si>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</si>
  <si>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</si>
  <si>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</si>
  <si>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</si>
  <si>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</si>
  <si>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</si>
  <si>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</si>
  <si>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</si>
  <si>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</si>
  <si>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</si>
  <si>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</si>
  <si>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</si>
  <si>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</si>
  <si>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</si>
  <si>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</si>
  <si>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</si>
  <si>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</si>
  <si>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</si>
  <si>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</si>
  <si>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</si>
  <si>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</si>
  <si>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</si>
  <si>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</si>
  <si>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</si>
  <si>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</si>
  <si>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</si>
  <si>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</si>
  <si>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</si>
  <si>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</si>
  <si>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</si>
  <si>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</si>
  <si>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</si>
  <si>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</si>
  <si>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</si>
  <si>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</si>
  <si>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</si>
  <si>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</si>
  <si>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</si>
  <si>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</si>
  <si>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</si>
  <si>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</si>
  <si>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</si>
  <si>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</si>
  <si>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</si>
  <si>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</si>
  <si>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</si>
  <si>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</si>
  <si>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</si>
  <si>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</si>
  <si>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</si>
  <si>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</si>
  <si>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</si>
  <si>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</si>
  <si>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</si>
  <si>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</si>
  <si>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</si>
  <si>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</si>
  <si>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</si>
  <si>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</si>
  <si>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</si>
  <si>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</si>
  <si>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</si>
  <si>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</si>
  <si>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</si>
  <si>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</si>
  <si>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</si>
  <si>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</si>
  <si>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</si>
  <si>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</si>
  <si>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</si>
  <si>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</si>
  <si>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</si>
  <si>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</si>
  <si>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</si>
  <si>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</si>
  <si>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</si>
  <si>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</si>
  <si>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</si>
  <si>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</si>
  <si>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</si>
  <si>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</si>
  <si>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</si>
  <si>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</si>
  <si>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</si>
  <si>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</si>
  <si>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</si>
  <si>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</si>
  <si>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</si>
  <si>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</si>
  <si>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</si>
  <si>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</si>
  <si>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</si>
  <si>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</si>
  <si>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</si>
  <si>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</si>
  <si>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</si>
  <si>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</si>
  <si>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</si>
  <si>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</si>
  <si>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</si>
  <si>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</si>
  <si>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</si>
  <si>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</si>
  <si>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</si>
  <si>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</si>
  <si>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</si>
  <si>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</si>
  <si>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</si>
  <si>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</si>
  <si>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</si>
  <si>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</si>
  <si>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</si>
  <si>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</si>
  <si>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</si>
  <si>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</si>
  <si>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</si>
  <si>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</si>
  <si>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</si>
  <si>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</si>
  <si>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</si>
  <si>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</si>
  <si>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</si>
  <si>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</si>
  <si>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</si>
  <si>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</si>
  <si>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</si>
  <si>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</si>
  <si>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</si>
  <si>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</si>
  <si>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</si>
  <si>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</si>
  <si>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</si>
  <si>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</si>
  <si>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</si>
  <si>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</si>
  <si>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</si>
  <si>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</si>
  <si>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</si>
  <si>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</si>
  <si>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</si>
  <si>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</si>
  <si>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</si>
  <si>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</si>
  <si>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</si>
  <si>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</si>
  <si>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</si>
  <si>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</si>
  <si>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</si>
  <si>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</si>
  <si>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</si>
  <si>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</si>
  <si>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</si>
  <si>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</si>
  <si>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</si>
  <si>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</si>
  <si>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</si>
  <si>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</si>
  <si>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</si>
  <si>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</si>
  <si>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</si>
  <si>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</si>
  <si>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</si>
  <si>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</si>
  <si>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</si>
  <si>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</si>
  <si>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</si>
  <si>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</si>
  <si>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</si>
  <si>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</si>
  <si>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</si>
  <si>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</si>
  <si>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</si>
  <si>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</si>
  <si>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</si>
  <si>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</si>
  <si>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</si>
  <si>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</si>
  <si>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</si>
  <si>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</si>
  <si>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</si>
  <si>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</si>
  <si>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</si>
  <si>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</si>
  <si>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</si>
  <si>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</si>
  <si>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</si>
  <si>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</si>
  <si>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</si>
  <si>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</si>
  <si>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</si>
  <si>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</si>
  <si>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</si>
  <si>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</si>
  <si>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</si>
  <si>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</si>
  <si>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</si>
  <si>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</si>
  <si>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</si>
  <si>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</si>
  <si>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</si>
  <si>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</si>
  <si>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</si>
  <si>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</si>
  <si>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</si>
  <si>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</si>
  <si>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</si>
  <si>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</si>
  <si>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</si>
  <si>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</si>
  <si>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</si>
  <si>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</si>
  <si>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</si>
  <si>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</si>
  <si>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</si>
  <si>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</si>
  <si>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</si>
  <si>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</si>
  <si>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</si>
  <si>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</si>
  <si>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</si>
  <si>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</si>
  <si>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</si>
  <si>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</si>
  <si>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</si>
  <si>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</si>
  <si>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</si>
  <si>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</si>
  <si>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</si>
  <si>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</si>
  <si>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</si>
  <si>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</si>
  <si>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</si>
  <si>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</si>
  <si>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</si>
  <si>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</si>
  <si>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</si>
  <si>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</si>
  <si>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</si>
  <si>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</si>
  <si>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</si>
  <si>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</si>
  <si>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</si>
  <si>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</si>
  <si>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</si>
  <si>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</si>
  <si>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</si>
  <si>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</si>
  <si>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</si>
  <si>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</si>
  <si>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</si>
  <si>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</si>
  <si>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</si>
  <si>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</si>
  <si>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</si>
  <si>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</si>
  <si>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</si>
  <si>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</si>
  <si>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</si>
  <si>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</si>
  <si>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</si>
  <si>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</si>
  <si>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</si>
  <si>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</si>
  <si>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</si>
  <si>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</si>
  <si>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</si>
  <si>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</si>
  <si>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</si>
  <si>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</si>
  <si>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</si>
  <si>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</si>
  <si>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</si>
  <si>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</si>
  <si>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</si>
  <si>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</si>
  <si>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</si>
  <si>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</si>
  <si>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</si>
  <si>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</si>
  <si>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</si>
  <si>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</si>
  <si>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</si>
  <si>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</si>
  <si>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</si>
  <si>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</si>
  <si>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</si>
  <si>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</si>
  <si>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</si>
  <si>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</si>
  <si>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</si>
  <si>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</si>
  <si>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</si>
  <si>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</si>
  <si>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</si>
  <si>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</si>
  <si>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</si>
  <si>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</si>
  <si>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</si>
  <si>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</si>
  <si>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</si>
  <si>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</si>
  <si>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</si>
  <si>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</si>
  <si>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</si>
  <si>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</si>
  <si>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</si>
  <si>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</si>
  <si>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</si>
  <si>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</si>
  <si>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</si>
  <si>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</si>
  <si>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</si>
  <si>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</si>
  <si>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</si>
  <si>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</si>
  <si>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</si>
  <si>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</si>
  <si>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</si>
  <si>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</si>
  <si>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</si>
  <si>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</si>
  <si>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</si>
  <si>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</si>
  <si>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</si>
  <si>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</si>
  <si>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</si>
  <si>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</si>
  <si>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</si>
  <si>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</si>
  <si>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</si>
  <si>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</si>
  <si>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</si>
  <si>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</si>
  <si>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</si>
  <si>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</si>
  <si>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</si>
  <si>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</si>
  <si>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</si>
  <si>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</si>
  <si>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</si>
  <si>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</si>
  <si>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</si>
  <si>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</si>
  <si>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</si>
  <si>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</si>
  <si>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</si>
  <si>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</si>
  <si>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</si>
  <si>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</si>
  <si>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</si>
  <si>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</si>
  <si>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</si>
  <si>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</si>
  <si>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</si>
  <si>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</si>
  <si>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</si>
  <si>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</si>
  <si>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</si>
  <si>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</si>
  <si>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</si>
  <si>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</si>
  <si>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</si>
  <si>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</si>
  <si>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</si>
  <si>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</si>
  <si>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</si>
  <si>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</si>
  <si>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</si>
  <si>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</si>
  <si>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</si>
  <si>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</si>
  <si>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</si>
  <si>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</si>
  <si>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</si>
  <si>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</si>
  <si>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</si>
  <si>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</si>
  <si>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</si>
  <si>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</si>
  <si>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</si>
  <si>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</si>
  <si>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</si>
  <si>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</si>
  <si>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</si>
  <si>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</si>
  <si>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</si>
  <si>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</si>
  <si>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</si>
  <si>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</si>
  <si>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</si>
  <si>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</si>
  <si>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</si>
  <si>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</si>
  <si>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</si>
  <si>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</si>
  <si>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</si>
  <si>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</si>
  <si>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</si>
  <si>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</si>
  <si>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</si>
  <si>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</si>
  <si>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</si>
  <si>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</si>
  <si>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</si>
  <si>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</si>
  <si>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</si>
  <si>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</si>
  <si>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</si>
  <si>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</si>
  <si>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</si>
  <si>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</si>
  <si>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</si>
  <si>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</si>
  <si>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</si>
  <si>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</si>
  <si>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</si>
  <si>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</si>
  <si>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</si>
  <si>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</si>
  <si>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</si>
  <si>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</si>
  <si>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</si>
  <si>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</si>
  <si>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</si>
  <si>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</si>
  <si>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</si>
  <si>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</si>
  <si>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</si>
  <si>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</si>
  <si>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</si>
  <si>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</si>
  <si>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</si>
  <si>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</si>
  <si>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</si>
  <si>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</si>
  <si>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</si>
  <si>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</si>
  <si>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</si>
  <si>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</si>
  <si>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</si>
  <si>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</si>
  <si>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</si>
  <si>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</si>
  <si>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</si>
  <si>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</si>
  <si>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</si>
  <si>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</si>
  <si>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</si>
  <si>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</si>
  <si>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</si>
  <si>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</si>
  <si>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</si>
  <si>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</si>
  <si>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</si>
  <si>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</si>
  <si>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</si>
  <si>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</si>
  <si>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</si>
  <si>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</si>
  <si>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</si>
  <si>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</si>
  <si>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</si>
  <si>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</si>
  <si>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</si>
  <si>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</si>
  <si>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</si>
  <si>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</si>
  <si>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</si>
  <si>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</si>
  <si>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</si>
  <si>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</si>
  <si>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</si>
  <si>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</si>
  <si>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</si>
  <si>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</si>
  <si>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</si>
  <si>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</si>
  <si>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</si>
  <si>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</si>
  <si>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</si>
  <si>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</si>
  <si>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</si>
  <si>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</si>
  <si>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</si>
  <si>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</si>
  <si>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</si>
  <si>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</si>
  <si>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</si>
  <si>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</si>
  <si>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</si>
  <si>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</si>
  <si>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</si>
  <si>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</si>
  <si>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</si>
  <si>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</si>
  <si>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</si>
  <si>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</si>
  <si>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</si>
  <si>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</si>
  <si>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</si>
  <si>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</si>
  <si>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</si>
  <si>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</si>
  <si>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</si>
  <si>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</si>
  <si>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</si>
  <si>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</si>
  <si>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</si>
  <si>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</si>
  <si>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</si>
  <si>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</si>
  <si>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</si>
  <si>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</si>
  <si>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</si>
  <si>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</si>
  <si>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</si>
  <si>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</si>
  <si>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</si>
  <si>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</si>
  <si>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</si>
  <si>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</si>
  <si>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</si>
  <si>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</si>
  <si>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</si>
  <si>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</si>
  <si>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</si>
  <si>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</si>
  <si>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</si>
  <si>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</si>
  <si>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</si>
  <si>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</si>
  <si>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</si>
  <si>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</si>
  <si>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</si>
  <si>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</si>
  <si>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</si>
  <si>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</si>
  <si>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</si>
  <si>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</si>
  <si>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</si>
  <si>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</si>
  <si>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</si>
  <si>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</si>
  <si>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</si>
  <si>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</si>
  <si>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</si>
  <si>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</si>
  <si>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</si>
  <si>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</si>
  <si>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</si>
  <si>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</si>
  <si>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</si>
  <si>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</si>
  <si>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</si>
  <si>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</si>
  <si>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</si>
  <si>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</si>
  <si>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</si>
  <si>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</si>
  <si>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</si>
  <si>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</si>
  <si>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</si>
  <si>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</si>
  <si>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</si>
  <si>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</si>
  <si>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</si>
  <si>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</si>
  <si>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</si>
  <si>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</si>
  <si>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</si>
  <si>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</si>
  <si>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</si>
  <si>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</si>
  <si>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</si>
  <si>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</si>
  <si>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</si>
  <si>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</si>
  <si>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</si>
  <si>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</si>
  <si>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</si>
  <si>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</si>
  <si>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</si>
  <si>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</si>
  <si>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</si>
  <si>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</si>
  <si>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</si>
  <si>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</si>
  <si>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</si>
  <si>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</si>
  <si>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</si>
  <si>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</si>
  <si>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</si>
  <si>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</si>
  <si>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</si>
  <si>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</si>
  <si>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</si>
  <si>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</si>
  <si>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</si>
  <si>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</si>
  <si>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</si>
  <si>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</si>
  <si>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</si>
  <si>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</si>
  <si>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</si>
  <si>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</si>
  <si>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</si>
  <si>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</si>
  <si>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</si>
  <si>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</si>
  <si>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</si>
  <si>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</si>
  <si>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</si>
  <si>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</si>
  <si>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</si>
  <si>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</si>
  <si>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</si>
  <si>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</si>
  <si>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</si>
  <si>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</si>
  <si>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</si>
  <si>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</si>
  <si>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</si>
  <si>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</si>
  <si>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</si>
  <si>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</si>
  <si>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</si>
  <si>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</si>
  <si>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</si>
  <si>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</si>
  <si>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</si>
  <si>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</si>
  <si>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</si>
  <si>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</si>
  <si>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</si>
  <si>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</si>
  <si>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</si>
  <si>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</si>
  <si>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</si>
  <si>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</si>
  <si>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</si>
  <si>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</si>
  <si>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</si>
  <si>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</si>
  <si>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</si>
  <si>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</si>
  <si>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</si>
  <si>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</si>
  <si>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</si>
  <si>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</si>
  <si>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</si>
  <si>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</si>
  <si>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</si>
  <si>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</si>
  <si>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</si>
  <si>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</si>
  <si>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</si>
  <si>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</si>
  <si>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</si>
  <si>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</si>
  <si>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</si>
  <si>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</si>
  <si>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</si>
  <si>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</si>
  <si>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</si>
  <si>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</si>
  <si>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</si>
  <si>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</si>
  <si>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</si>
  <si>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</si>
  <si>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</si>
  <si>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</si>
  <si>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</si>
  <si>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</si>
  <si>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</si>
  <si>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</si>
  <si>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</si>
  <si>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</si>
  <si>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</si>
  <si>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</si>
  <si>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</si>
  <si>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</si>
  <si>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</si>
  <si>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</si>
  <si>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</si>
  <si>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</si>
  <si>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</si>
  <si>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</si>
  <si>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</si>
  <si>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</si>
  <si>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</si>
  <si>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</si>
  <si>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</si>
  <si>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</si>
  <si>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</si>
  <si>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</si>
  <si>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</si>
  <si>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</si>
  <si>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</si>
  <si>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</si>
  <si>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</si>
  <si>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</si>
  <si>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</si>
  <si>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</si>
  <si>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</si>
  <si>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</si>
  <si>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</si>
  <si>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</si>
  <si>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</si>
  <si>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</si>
  <si>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</si>
  <si>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</si>
  <si>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</si>
  <si>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</si>
  <si>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</si>
  <si>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</si>
  <si>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</si>
  <si>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</si>
  <si>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</si>
  <si>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</si>
  <si>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</si>
  <si>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</si>
  <si>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</si>
  <si>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</si>
  <si>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</si>
  <si>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</si>
  <si>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</si>
  <si>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</si>
  <si>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</si>
  <si>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</si>
  <si>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</si>
  <si>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</si>
  <si>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</si>
  <si>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</si>
  <si>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</si>
  <si>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</si>
  <si>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</si>
  <si>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</si>
  <si>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</si>
  <si>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</si>
  <si>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</si>
  <si>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</si>
  <si>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</si>
  <si>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</si>
  <si>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</si>
  <si>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</si>
  <si>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</si>
  <si>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</si>
  <si>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</si>
  <si>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</si>
  <si>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</si>
  <si>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</si>
  <si>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</si>
  <si>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</si>
  <si>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</si>
  <si>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</si>
  <si>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</si>
  <si>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</si>
  <si>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</si>
  <si>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</si>
  <si>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</si>
  <si>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</si>
  <si>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</si>
  <si>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</si>
  <si>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</si>
  <si>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</si>
  <si>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</si>
  <si>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</si>
  <si>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</si>
  <si>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</si>
  <si>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</si>
  <si>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</si>
  <si>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</si>
  <si>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</si>
  <si>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</si>
  <si>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</si>
  <si>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</si>
  <si>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</si>
  <si>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</si>
  <si>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</si>
  <si>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</si>
  <si>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</si>
  <si>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</si>
  <si>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</si>
  <si>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</si>
  <si>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</si>
  <si>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</si>
  <si>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</si>
  <si>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</si>
  <si>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</si>
  <si>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</si>
  <si>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</si>
  <si>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</si>
  <si>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</si>
  <si>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</si>
  <si>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</si>
  <si>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</si>
  <si>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</si>
  <si>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</si>
  <si>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</si>
  <si>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</si>
  <si>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</si>
  <si>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</si>
  <si>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</si>
  <si>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</si>
  <si>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</si>
  <si>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</si>
  <si>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</si>
  <si>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</si>
  <si>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</si>
  <si>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</si>
  <si>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</si>
  <si>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</si>
  <si>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</si>
  <si>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</si>
  <si>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</si>
  <si>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</si>
  <si>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</si>
  <si>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</si>
  <si>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</si>
  <si>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</si>
  <si>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</si>
  <si>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</si>
  <si>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</si>
  <si>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</si>
  <si>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</si>
  <si>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</si>
  <si>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</si>
  <si>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</si>
  <si>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</si>
  <si>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</si>
  <si>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</si>
  <si>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</si>
  <si>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</si>
  <si>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</si>
  <si>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</si>
  <si>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</si>
  <si>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</si>
  <si>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</si>
  <si>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</si>
  <si>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</si>
  <si>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</si>
  <si>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</si>
  <si>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</si>
  <si>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</si>
  <si>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</si>
  <si>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</si>
  <si>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</si>
  <si>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</si>
  <si>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</si>
  <si>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</si>
  <si>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</si>
  <si>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</si>
  <si>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</si>
  <si>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</si>
  <si>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</si>
  <si>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</si>
  <si>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</si>
  <si>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</si>
  <si>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</si>
  <si>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</si>
  <si>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</si>
  <si>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</si>
  <si>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</si>
  <si>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</si>
  <si>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</si>
  <si>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</si>
  <si>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</si>
  <si>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</si>
  <si>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</si>
  <si>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</si>
  <si>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</si>
  <si>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</si>
  <si>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</si>
  <si>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</si>
  <si>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</si>
  <si>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</si>
  <si>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</si>
  <si>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</si>
  <si>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</si>
  <si>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</si>
  <si>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</si>
  <si>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</si>
  <si>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</si>
  <si>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</si>
  <si>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</si>
  <si>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</si>
  <si>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</si>
  <si>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</si>
  <si>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</si>
  <si>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</si>
  <si>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</si>
  <si>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</si>
  <si>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</si>
  <si>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</si>
  <si>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</si>
  <si>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</si>
  <si>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</si>
  <si>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</si>
  <si>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</si>
  <si>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</si>
  <si>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</si>
  <si>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</si>
  <si>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</si>
  <si>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</si>
  <si>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</si>
  <si>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</si>
  <si>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</si>
  <si>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</si>
  <si>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</si>
  <si>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</si>
  <si>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</si>
  <si>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</si>
  <si>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</si>
  <si>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</si>
  <si>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</si>
  <si>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</si>
  <si>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</si>
  <si>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</si>
  <si>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</si>
  <si>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</si>
  <si>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</si>
  <si>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</si>
  <si>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</si>
  <si>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</si>
  <si>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</si>
  <si>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</si>
  <si>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</si>
  <si>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</si>
  <si>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</si>
  <si>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</si>
  <si>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</si>
  <si>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</si>
  <si>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</si>
  <si>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</si>
  <si>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</si>
  <si>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</si>
  <si>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</si>
  <si>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</si>
  <si>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</si>
  <si>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</si>
  <si>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</si>
  <si>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</si>
  <si>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</si>
  <si>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</si>
  <si>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</si>
  <si>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</si>
  <si>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</si>
  <si>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</si>
  <si>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</si>
  <si>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</si>
  <si>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</si>
  <si>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</si>
  <si>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</si>
  <si>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</si>
  <si>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</si>
  <si>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</si>
  <si>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</si>
  <si>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</si>
  <si>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</si>
  <si>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</si>
  <si>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</si>
  <si>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</si>
  <si>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</si>
  <si>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</si>
  <si>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</si>
  <si>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</si>
  <si>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</si>
  <si>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</si>
  <si>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</si>
  <si>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</si>
  <si>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</si>
  <si>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</si>
  <si>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</si>
  <si>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</si>
  <si>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</si>
  <si>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</si>
  <si>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</si>
  <si>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</si>
  <si>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</si>
  <si>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</si>
  <si>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</si>
  <si>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</si>
  <si>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</si>
  <si>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</si>
  <si>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</si>
  <si>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</si>
  <si>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</si>
  <si>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</si>
  <si>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</si>
  <si>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</si>
  <si>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</si>
  <si>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</si>
  <si>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</si>
  <si>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</si>
  <si>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</si>
  <si>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</si>
  <si>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</si>
  <si>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</si>
  <si>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</si>
  <si>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</si>
  <si>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</si>
  <si>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</si>
  <si>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</si>
  <si>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</si>
  <si>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</si>
  <si>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</si>
  <si>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</si>
  <si>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</si>
  <si>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</si>
  <si>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</si>
  <si>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</si>
  <si>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</si>
  <si>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</si>
  <si>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</si>
  <si>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</si>
  <si>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</si>
  <si>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</si>
  <si>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</si>
  <si>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</si>
  <si>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</si>
  <si>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</si>
  <si>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</si>
  <si>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</si>
  <si>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</si>
  <si>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</si>
  <si>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</si>
  <si>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</si>
  <si>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</si>
  <si>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</si>
  <si>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</si>
  <si>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</si>
  <si>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</si>
  <si>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</si>
  <si>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</si>
  <si>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</si>
  <si>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</si>
  <si>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</si>
  <si>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</si>
  <si>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</si>
  <si>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</si>
  <si>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</si>
  <si>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</si>
  <si>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</si>
  <si>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</si>
  <si>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</si>
  <si>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</si>
  <si>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</si>
  <si>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</si>
  <si>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</si>
  <si>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</si>
  <si>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</si>
  <si>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</si>
  <si>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</si>
  <si>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</si>
  <si>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</si>
  <si>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</si>
  <si>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</si>
  <si>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</si>
  <si>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</si>
  <si>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</si>
  <si>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</si>
  <si>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</si>
  <si>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</si>
  <si>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</si>
  <si>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</si>
  <si>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</si>
  <si>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</si>
  <si>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</si>
  <si>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</si>
  <si>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</si>
  <si>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</si>
  <si>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</si>
  <si>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</si>
  <si>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</si>
  <si>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</si>
  <si>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</si>
  <si>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</si>
  <si>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</si>
  <si>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</si>
  <si>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</si>
  <si>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</si>
  <si>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</si>
  <si>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</si>
  <si>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</si>
  <si>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</si>
  <si>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</si>
  <si>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</si>
  <si>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</si>
  <si>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</si>
  <si>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</si>
  <si>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</si>
  <si>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</si>
  <si>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</si>
  <si>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</si>
  <si>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</si>
  <si>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</si>
  <si>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</si>
  <si>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</si>
  <si>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</si>
  <si>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</si>
  <si>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</si>
  <si>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</si>
  <si>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</si>
  <si>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</si>
  <si>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</si>
  <si>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</si>
  <si>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</si>
  <si>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</si>
  <si>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</si>
  <si>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</si>
  <si>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</si>
  <si>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</si>
  <si>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</si>
  <si>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</si>
  <si>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</si>
  <si>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</si>
  <si>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</si>
  <si>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</si>
  <si>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</si>
  <si>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</si>
  <si>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</si>
  <si>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</si>
  <si>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</si>
  <si>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</si>
  <si>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</si>
  <si>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</si>
  <si>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</si>
  <si>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</si>
  <si>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</si>
  <si>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</si>
  <si>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</si>
  <si>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</si>
  <si>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</si>
  <si>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</si>
  <si>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</si>
  <si>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</si>
  <si>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</si>
  <si>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</si>
  <si>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</si>
  <si>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</si>
  <si>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</si>
  <si>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</si>
  <si>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</si>
  <si>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</si>
  <si>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</si>
  <si>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</si>
  <si>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</si>
  <si>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</si>
  <si>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</si>
  <si>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</si>
  <si>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</si>
  <si>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</si>
  <si>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</si>
  <si>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</si>
  <si>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</si>
  <si>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</si>
  <si>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</si>
  <si>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</si>
  <si>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</si>
  <si>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</si>
  <si>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</si>
  <si>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</si>
  <si>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</si>
  <si>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</si>
  <si>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</si>
  <si>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</si>
  <si>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</si>
  <si>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</si>
  <si>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</si>
  <si>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</si>
  <si>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</si>
  <si>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</si>
  <si>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</si>
  <si>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</si>
  <si>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</si>
  <si>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</si>
  <si>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</si>
  <si>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</si>
  <si>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</si>
  <si>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</si>
  <si>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</si>
  <si>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</si>
  <si>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</si>
  <si>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</si>
  <si>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</si>
  <si>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</si>
  <si>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</si>
  <si>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</si>
  <si>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</si>
  <si>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</si>
  <si>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</si>
  <si>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</si>
  <si>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</si>
  <si>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</si>
  <si>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</si>
  <si>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</si>
  <si>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</si>
  <si>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</si>
  <si>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</si>
  <si>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</si>
  <si>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</si>
  <si>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</si>
  <si>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</si>
  <si>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</si>
  <si>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</si>
  <si>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</si>
  <si>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</si>
  <si>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</si>
  <si>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</si>
  <si>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</si>
  <si>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</si>
  <si>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</si>
  <si>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</si>
  <si>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</si>
  <si>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</si>
  <si>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</si>
  <si>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</si>
  <si>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</si>
  <si>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</si>
  <si>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</si>
  <si>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</si>
  <si>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</si>
  <si>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</si>
  <si>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</si>
  <si>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</si>
  <si>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</si>
  <si>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</si>
  <si>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</si>
  <si>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</si>
  <si>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</si>
  <si>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</si>
  <si>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</si>
  <si>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</si>
  <si>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</si>
  <si>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</si>
  <si>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</si>
  <si>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</si>
  <si>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</si>
  <si>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</si>
  <si>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</si>
  <si>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</si>
  <si>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</si>
  <si>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</si>
  <si>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</si>
  <si>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</si>
  <si>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</si>
  <si>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</si>
  <si>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</si>
  <si>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</si>
  <si>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</si>
  <si>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</si>
  <si>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</si>
  <si>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</si>
  <si>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</si>
  <si>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</si>
  <si>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</si>
  <si>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</si>
  <si>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</si>
  <si>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</si>
  <si>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</si>
  <si>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</si>
  <si>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</si>
  <si>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</si>
  <si>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</si>
  <si>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</si>
  <si>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</si>
  <si>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</si>
  <si>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</si>
  <si>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</si>
  <si>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</si>
  <si>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</si>
  <si>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</si>
  <si>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</si>
  <si>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</si>
  <si>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</si>
  <si>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</si>
  <si>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</si>
  <si>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</si>
  <si>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</si>
  <si>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</si>
  <si>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</si>
  <si>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</si>
  <si>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</si>
  <si>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</si>
  <si>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</si>
  <si>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</si>
  <si>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</si>
  <si>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</si>
  <si>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</si>
  <si>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</si>
  <si>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</si>
  <si>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</si>
  <si>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</si>
  <si>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</si>
  <si>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</si>
  <si>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</si>
  <si>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</si>
  <si>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</si>
  <si>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</si>
  <si>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</si>
  <si>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</si>
  <si>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</si>
  <si>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</si>
  <si>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</si>
  <si>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</si>
  <si>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</si>
  <si>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</si>
  <si>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</si>
  <si>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</si>
  <si>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</si>
  <si>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</si>
  <si>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</si>
  <si>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</si>
  <si>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</si>
  <si>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</si>
  <si>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</si>
  <si>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</si>
  <si>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</si>
  <si>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</si>
  <si>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</si>
  <si>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</si>
  <si>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</si>
  <si>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</si>
  <si>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</si>
  <si>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</si>
  <si>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</si>
  <si>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</si>
  <si>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</si>
  <si>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</si>
  <si>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</si>
  <si>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</si>
  <si>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</si>
  <si>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</si>
  <si>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</si>
  <si>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</si>
  <si>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</si>
  <si>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</si>
  <si>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</si>
  <si>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</si>
  <si>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</si>
  <si>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</si>
  <si>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</si>
  <si>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</si>
  <si>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</si>
  <si>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</si>
  <si>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</si>
  <si>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</si>
  <si>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</si>
  <si>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</si>
  <si>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</si>
  <si>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</si>
  <si>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</si>
  <si>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</si>
  <si>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</si>
  <si>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</si>
  <si>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</si>
  <si>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</si>
  <si>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</si>
  <si>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</si>
  <si>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</si>
  <si>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</si>
  <si>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</si>
  <si>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</si>
  <si>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</si>
  <si>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</si>
  <si>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</si>
  <si>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</si>
  <si>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</si>
  <si>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</si>
  <si>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</si>
  <si>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</si>
  <si>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</si>
  <si>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</si>
  <si>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</si>
  <si>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</si>
  <si>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</si>
  <si>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</si>
  <si>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</si>
  <si>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</si>
  <si>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</si>
  <si>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</si>
  <si>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</si>
  <si>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</si>
  <si>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</si>
  <si>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</si>
  <si>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</si>
  <si>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</si>
  <si>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</si>
  <si>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</si>
  <si>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</si>
  <si>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</si>
  <si>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</si>
  <si>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</si>
  <si>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</si>
  <si>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</si>
  <si>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</si>
  <si>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</si>
  <si>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</si>
  <si>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</si>
  <si>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</si>
  <si>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</si>
  <si>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</si>
  <si>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</si>
  <si>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</si>
  <si>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</si>
  <si>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</si>
  <si>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</si>
  <si>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</si>
  <si>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</si>
  <si>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</si>
  <si>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</si>
  <si>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</si>
  <si>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</si>
  <si>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</si>
  <si>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</si>
  <si>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</si>
  <si>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</si>
  <si>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</si>
  <si>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</si>
  <si>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</si>
  <si>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</si>
  <si>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</si>
  <si>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</si>
  <si>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</si>
  <si>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</si>
  <si>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</si>
  <si>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</si>
  <si>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</si>
  <si>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</si>
  <si>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</si>
  <si>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</si>
  <si>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</si>
  <si>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</si>
  <si>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</si>
  <si>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</si>
  <si>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</si>
  <si>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</si>
  <si>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</si>
  <si>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</si>
  <si>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</si>
  <si>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</si>
  <si>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</si>
  <si>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</si>
  <si>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</si>
  <si>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</si>
  <si>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</si>
  <si>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</si>
  <si>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</si>
  <si>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</si>
  <si>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</si>
  <si>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</si>
  <si>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</si>
  <si>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</si>
  <si>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</si>
  <si>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</si>
  <si>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</si>
  <si>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</si>
  <si>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</si>
  <si>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</si>
  <si>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</si>
  <si>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</si>
  <si>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</si>
  <si>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</si>
  <si>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</si>
  <si>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</si>
  <si>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</si>
  <si>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</si>
  <si>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</si>
  <si>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</si>
  <si>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</si>
  <si>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</si>
  <si>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</si>
  <si>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</si>
  <si>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</si>
  <si>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</si>
  <si>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</si>
  <si>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</si>
  <si>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</si>
  <si>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</si>
  <si>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</si>
  <si>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</si>
  <si>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</si>
  <si>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</si>
  <si>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</si>
  <si>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</si>
  <si>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</si>
  <si>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</si>
  <si>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</si>
  <si>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</si>
  <si>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</si>
  <si>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</si>
  <si>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</si>
  <si>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</si>
  <si>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</si>
  <si>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</si>
  <si>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</si>
  <si>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</si>
  <si>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</si>
  <si>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</si>
  <si>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</si>
  <si>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</si>
  <si>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</si>
  <si>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</si>
  <si>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</si>
  <si>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</si>
  <si>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</si>
  <si>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</si>
  <si>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</si>
  <si>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</si>
  <si>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</si>
  <si>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</si>
  <si>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</si>
  <si>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</si>
  <si>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</si>
  <si>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</si>
  <si>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</si>
  <si>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</si>
  <si>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</si>
  <si>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</si>
  <si>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</si>
  <si>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</si>
  <si>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</si>
  <si>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</si>
  <si>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</si>
  <si>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</si>
  <si>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</si>
  <si>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</si>
  <si>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</si>
  <si>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</si>
  <si>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</si>
  <si>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</si>
  <si>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</si>
  <si>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</si>
  <si>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</si>
  <si>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</si>
  <si>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</si>
  <si>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</si>
  <si>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</si>
  <si>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</si>
  <si>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</si>
  <si>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</si>
  <si>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</si>
  <si>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</si>
  <si>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</si>
  <si>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</si>
  <si>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</si>
  <si>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</si>
  <si>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</si>
  <si>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</si>
  <si>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</si>
  <si>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</si>
  <si>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</si>
  <si>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</si>
  <si>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</si>
  <si>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</si>
  <si>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</si>
  <si>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</si>
  <si>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</si>
  <si>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</si>
  <si>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</si>
  <si>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</si>
  <si>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</si>
  <si>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</si>
  <si>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</si>
  <si>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</si>
  <si>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</si>
  <si>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</si>
  <si>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</si>
  <si>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</si>
  <si>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</si>
  <si>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</si>
  <si>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</si>
  <si>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</si>
  <si>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</si>
  <si>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</si>
  <si>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</si>
  <si>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</si>
  <si>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</si>
  <si>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</si>
  <si>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</si>
  <si>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</si>
  <si>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</si>
  <si>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</si>
  <si>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</si>
  <si>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</si>
  <si>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</si>
  <si>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</si>
  <si>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</si>
  <si>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</si>
  <si>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</si>
  <si>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</si>
  <si>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</si>
  <si>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</si>
  <si>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</si>
  <si>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</si>
  <si>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</si>
  <si>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</si>
  <si>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</si>
  <si>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</si>
  <si>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</si>
  <si>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</si>
  <si>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</si>
  <si>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</si>
  <si>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</si>
  <si>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</si>
  <si>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</si>
  <si>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</si>
  <si>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</si>
  <si>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</si>
  <si>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</si>
  <si>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</si>
  <si>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</si>
  <si>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</si>
  <si>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</si>
  <si>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</si>
  <si>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</si>
  <si>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</si>
  <si>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</si>
  <si>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</si>
  <si>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</si>
  <si>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</si>
  <si>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</si>
  <si>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</si>
  <si>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</si>
  <si>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</si>
  <si>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</si>
  <si>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</si>
  <si>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</si>
  <si>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</si>
  <si>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</si>
  <si>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</si>
  <si>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</si>
  <si>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</si>
  <si>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</si>
  <si>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</si>
  <si>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</si>
  <si>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</si>
  <si>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</si>
  <si>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</si>
  <si>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</si>
  <si>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</si>
  <si>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</si>
  <si>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</si>
  <si>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</si>
  <si>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</si>
  <si>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</si>
  <si>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</si>
  <si>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</si>
  <si>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</si>
  <si>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</si>
  <si>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</si>
  <si>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</si>
  <si>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</si>
  <si>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</si>
  <si>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</si>
  <si>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</si>
  <si>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</si>
  <si>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</si>
  <si>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</si>
  <si>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</si>
  <si>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</si>
  <si>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</si>
  <si>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</si>
  <si>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</si>
  <si>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</si>
  <si>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</si>
  <si>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</si>
  <si>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</si>
  <si>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</si>
  <si>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</si>
  <si>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</si>
  <si>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</si>
  <si>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</si>
  <si>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</si>
  <si>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</si>
  <si>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</si>
  <si>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</si>
  <si>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</si>
  <si>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</si>
  <si>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</si>
  <si>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</si>
  <si>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</si>
  <si>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</si>
  <si>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</si>
  <si>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</si>
  <si>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</si>
  <si>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</si>
  <si>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</si>
  <si>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</si>
  <si>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</si>
  <si>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</si>
  <si>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</si>
  <si>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</si>
  <si>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</si>
  <si>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</si>
  <si>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</si>
  <si>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</si>
  <si>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</si>
  <si>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</si>
  <si>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</si>
  <si>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</si>
  <si>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</si>
  <si>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</si>
  <si>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</si>
  <si>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</si>
  <si>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</si>
  <si>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</si>
  <si>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</si>
  <si>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</si>
  <si>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</si>
  <si>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</si>
  <si>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</si>
  <si>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</si>
  <si>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</si>
  <si>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</si>
  <si>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</si>
  <si>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</si>
  <si>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</si>
  <si>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</si>
  <si>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</si>
  <si>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</si>
  <si>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</si>
  <si>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</si>
  <si>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</si>
  <si>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</si>
  <si>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</si>
  <si>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</si>
  <si>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</si>
  <si>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</si>
  <si>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</si>
  <si>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</si>
  <si>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</si>
  <si>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</si>
  <si>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</si>
  <si>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</si>
  <si>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</si>
  <si>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</si>
  <si>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</si>
  <si>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</si>
  <si>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</si>
  <si>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</si>
  <si>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</si>
  <si>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</si>
  <si>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</si>
  <si>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</si>
  <si>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</si>
  <si>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</si>
  <si>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</si>
  <si>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</si>
  <si>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</si>
  <si>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</si>
  <si>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</si>
  <si>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</si>
  <si>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</si>
  <si>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</si>
  <si>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</si>
  <si>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</si>
  <si>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</si>
  <si>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</si>
  <si>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</si>
  <si>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</si>
  <si>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</si>
  <si>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</si>
  <si>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</si>
  <si>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</si>
  <si>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</si>
  <si>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</si>
  <si>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</si>
  <si>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</si>
  <si>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</si>
  <si>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</si>
  <si>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</si>
  <si>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</si>
  <si>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</si>
  <si>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</si>
  <si>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</si>
  <si>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</si>
  <si>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</si>
  <si>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</si>
  <si>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</si>
  <si>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</si>
  <si>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</si>
  <si>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</si>
  <si>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</si>
  <si>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</si>
  <si>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</si>
  <si>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</si>
  <si>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</si>
  <si>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</si>
  <si>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</si>
  <si>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</si>
  <si>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</si>
  <si>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</si>
  <si>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</si>
  <si>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</si>
  <si>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</si>
  <si>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</si>
  <si>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</si>
  <si>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</si>
  <si>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</si>
  <si>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</si>
  <si>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</si>
  <si>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</si>
  <si>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</si>
  <si>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</si>
  <si>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</si>
  <si>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</si>
  <si>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</si>
  <si>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</si>
  <si>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</si>
  <si>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</si>
  <si>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</si>
  <si>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</si>
  <si>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</si>
  <si>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</si>
  <si>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</si>
  <si>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</si>
  <si>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</si>
  <si>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</si>
  <si>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</si>
  <si>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</si>
  <si>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</si>
  <si>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</si>
  <si>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</si>
  <si>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</si>
  <si>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</si>
  <si>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</si>
  <si>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</si>
  <si>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</si>
  <si>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</si>
  <si>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</si>
  <si>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</si>
  <si>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</si>
  <si>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</si>
  <si>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</si>
  <si>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</si>
  <si>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</si>
  <si>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</si>
  <si>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</si>
  <si>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</si>
  <si>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</si>
  <si>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</si>
  <si>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</si>
  <si>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</si>
  <si>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</si>
  <si>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</si>
  <si>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</si>
  <si>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</si>
  <si>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</si>
  <si>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</si>
  <si>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</si>
  <si>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</si>
  <si>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</si>
  <si>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</si>
  <si>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</si>
  <si>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</si>
  <si>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</si>
  <si>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</si>
  <si>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</si>
  <si>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</si>
  <si>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</si>
  <si>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</si>
  <si>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</si>
  <si>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</si>
  <si>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</si>
  <si>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</si>
  <si>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</si>
  <si>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</si>
  <si>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</si>
  <si>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</si>
  <si>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</si>
  <si>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</si>
  <si>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</si>
  <si>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</si>
  <si>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</si>
  <si>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</si>
  <si>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</si>
  <si>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</si>
  <si>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</si>
  <si>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</si>
  <si>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</si>
  <si>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</si>
  <si>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</si>
  <si>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</si>
  <si>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</si>
  <si>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</si>
  <si>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</si>
  <si>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</si>
  <si>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</si>
  <si>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</si>
  <si>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</si>
  <si>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</si>
  <si>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</si>
  <si>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</si>
  <si>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</si>
  <si>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</si>
  <si>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</si>
  <si>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</si>
  <si>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</si>
  <si>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</si>
  <si>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</si>
  <si>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</si>
  <si>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</si>
  <si>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</si>
  <si>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</si>
  <si>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</si>
  <si>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</si>
  <si>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</si>
  <si>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</si>
  <si>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</si>
  <si>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</si>
  <si>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</si>
  <si>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</si>
  <si>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</si>
  <si>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</si>
  <si>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</si>
  <si>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</si>
  <si>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</si>
  <si>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</si>
  <si>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</si>
  <si>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</si>
  <si>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</si>
  <si>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</si>
  <si>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</si>
  <si>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</si>
  <si>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</si>
  <si>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</si>
  <si>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</si>
  <si>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</si>
  <si>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</si>
  <si>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</si>
  <si>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</si>
  <si>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</si>
  <si>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</si>
  <si>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</si>
  <si>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</si>
  <si>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</si>
  <si>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</si>
  <si>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</si>
  <si>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</si>
  <si>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</si>
  <si>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</si>
  <si>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</si>
  <si>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</si>
  <si>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</si>
  <si>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</si>
  <si>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</si>
  <si>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</si>
  <si>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</si>
  <si>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</si>
  <si>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</si>
  <si>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</si>
  <si>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</si>
  <si>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</si>
  <si>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</si>
  <si>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</si>
  <si>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</si>
  <si>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</si>
  <si>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</si>
  <si>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</si>
  <si>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</si>
  <si>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</si>
  <si>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</si>
  <si>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</si>
  <si>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</si>
  <si>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</si>
  <si>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</si>
  <si>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</si>
  <si>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</si>
  <si>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</si>
  <si>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</si>
  <si>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</si>
  <si>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</si>
  <si>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</si>
  <si>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</si>
  <si>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</si>
  <si>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</si>
  <si>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</si>
  <si>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</si>
  <si>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</si>
  <si>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</si>
  <si>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</si>
  <si>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</si>
  <si>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</si>
  <si>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</si>
  <si>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</si>
  <si>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</si>
  <si>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</si>
  <si>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</si>
  <si>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</si>
  <si>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</si>
  <si>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</si>
  <si>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</si>
  <si>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</si>
  <si>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</si>
  <si>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</si>
  <si>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</si>
  <si>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</si>
  <si>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</si>
  <si>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</si>
  <si>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</si>
  <si>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</si>
  <si>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</si>
  <si>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</si>
  <si>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</si>
  <si>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</si>
  <si>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</si>
  <si>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</si>
  <si>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</si>
  <si>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</si>
  <si>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</si>
  <si>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</si>
  <si>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</si>
  <si>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</si>
  <si>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</si>
  <si>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</si>
  <si>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</si>
  <si>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</si>
  <si>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</si>
  <si>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</si>
  <si>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</si>
  <si>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</si>
  <si>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</si>
  <si>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</si>
  <si>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</si>
  <si>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</si>
  <si>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</si>
  <si>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</si>
  <si>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</si>
  <si>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</si>
  <si>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</si>
  <si>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</si>
  <si>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</si>
  <si>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</si>
  <si>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</si>
  <si>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</si>
  <si>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</si>
  <si>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</si>
  <si>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</si>
  <si>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</si>
  <si>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</si>
  <si>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</si>
  <si>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</si>
  <si>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</si>
  <si>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</si>
  <si>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</si>
  <si>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</si>
  <si>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</si>
  <si>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</si>
  <si>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</si>
  <si>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</si>
  <si>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</si>
  <si>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</si>
  <si>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</si>
  <si>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</si>
  <si>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</si>
  <si>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</si>
  <si>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</si>
  <si>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</si>
  <si>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</si>
  <si>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</si>
  <si>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</si>
  <si>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</si>
  <si>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</si>
  <si>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</si>
  <si>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</si>
  <si>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</si>
  <si>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</si>
  <si>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</si>
  <si>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</si>
  <si>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</si>
  <si>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</si>
  <si>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</si>
  <si>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</si>
  <si>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</si>
  <si>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</si>
  <si>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</si>
  <si>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</si>
  <si>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</si>
  <si>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</si>
  <si>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</si>
  <si>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</si>
  <si>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</si>
  <si>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</si>
  <si>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</si>
  <si>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</si>
  <si>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</si>
  <si>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</si>
  <si>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</si>
  <si>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</si>
  <si>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</si>
  <si>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</si>
  <si>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</si>
  <si>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</si>
  <si>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</si>
  <si>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</si>
  <si>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</si>
  <si>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</si>
  <si>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</si>
  <si>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</si>
  <si>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</si>
  <si>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</si>
  <si>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</si>
  <si>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</si>
  <si>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</si>
  <si>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</si>
  <si>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</si>
  <si>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</si>
  <si>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</si>
  <si>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</si>
  <si>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</si>
  <si>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</si>
  <si>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</si>
  <si>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</si>
  <si>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</si>
  <si>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</si>
  <si>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</si>
  <si>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</si>
  <si>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</si>
  <si>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</si>
  <si>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</si>
  <si>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</si>
  <si>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</si>
  <si>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</si>
  <si>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</si>
  <si>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</si>
  <si>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</si>
  <si>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</si>
  <si>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</si>
  <si>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</si>
  <si>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</si>
  <si>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</si>
  <si>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</si>
  <si>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</si>
  <si>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</si>
  <si>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</si>
  <si>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</si>
  <si>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</si>
  <si>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</si>
  <si>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</si>
  <si>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</si>
  <si>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</si>
  <si>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</si>
  <si>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</si>
  <si>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</si>
  <si>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</si>
  <si>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</si>
  <si>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</si>
  <si>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</si>
  <si>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</si>
  <si>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</si>
  <si>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</si>
  <si>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</si>
  <si>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</si>
  <si>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</si>
  <si>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</si>
  <si>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</si>
  <si>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</si>
  <si>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</si>
  <si>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</si>
  <si>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</si>
  <si>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</si>
  <si>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</si>
  <si>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</si>
  <si>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</si>
  <si>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</si>
  <si>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</si>
  <si>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</si>
  <si>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</si>
  <si>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</si>
  <si>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</si>
  <si>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</si>
  <si>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</si>
  <si>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</si>
  <si>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</si>
  <si>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</si>
  <si>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</si>
  <si>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</si>
  <si>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</si>
  <si>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</si>
  <si>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</si>
  <si>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</si>
  <si>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</si>
  <si>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</si>
  <si>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</si>
  <si>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</si>
  <si>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</si>
  <si>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</si>
  <si>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</si>
  <si>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</si>
  <si>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</si>
  <si>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</si>
  <si>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</si>
  <si>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</si>
  <si>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</si>
  <si>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</si>
  <si>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</si>
  <si>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</si>
  <si>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</si>
  <si>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</si>
  <si>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</si>
  <si>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</si>
  <si>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</si>
  <si>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</si>
  <si>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</si>
  <si>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</si>
  <si>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</si>
  <si>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</si>
  <si>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</si>
  <si>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</si>
  <si>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</si>
  <si>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</si>
  <si>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</si>
  <si>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</si>
  <si>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</si>
  <si>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</si>
  <si>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</si>
  <si>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</si>
  <si>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</si>
  <si>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</si>
  <si>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</si>
  <si>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</si>
  <si>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</si>
  <si>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</si>
  <si>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</si>
  <si>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</si>
  <si>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</si>
  <si>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</si>
  <si>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</si>
  <si>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</si>
  <si>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</si>
  <si>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</si>
  <si>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</si>
  <si>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</si>
  <si>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</si>
  <si>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</si>
  <si>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</si>
  <si>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</si>
  <si>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</si>
  <si>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</si>
  <si>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</si>
  <si>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</si>
  <si>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</si>
  <si>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</si>
  <si>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</si>
  <si>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</si>
  <si>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</si>
  <si>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</si>
  <si>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</si>
  <si>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</si>
  <si>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</si>
  <si>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</si>
  <si>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</si>
  <si>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</si>
  <si>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</si>
  <si>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</si>
  <si>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</si>
  <si>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</si>
  <si>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</si>
  <si>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</si>
  <si>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</si>
  <si>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</si>
  <si>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</si>
  <si>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</si>
  <si>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</si>
  <si>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</si>
  <si>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</si>
  <si>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</si>
  <si>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</si>
  <si>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</si>
  <si>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</si>
  <si>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</si>
  <si>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</si>
  <si>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</si>
  <si>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</si>
  <si>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</si>
  <si>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</si>
  <si>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</si>
  <si>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</si>
  <si>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</si>
  <si>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</si>
  <si>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</si>
  <si>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</si>
  <si>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</si>
  <si>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</si>
  <si>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</si>
  <si>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</si>
  <si>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</si>
  <si>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</si>
  <si>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</si>
  <si>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</si>
  <si>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</si>
  <si>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</si>
  <si>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</si>
  <si>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</si>
  <si>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</si>
  <si>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</si>
  <si>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</si>
  <si>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</si>
  <si>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</si>
  <si>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</si>
  <si>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</si>
  <si>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</si>
  <si>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</si>
  <si>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</si>
  <si>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</si>
  <si>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</si>
  <si>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</si>
  <si>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</si>
  <si>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</si>
  <si>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</si>
  <si>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</si>
  <si>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</si>
  <si>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</si>
  <si>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</si>
  <si>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</si>
  <si>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</si>
  <si>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</si>
  <si>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</si>
  <si>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</si>
  <si>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</si>
  <si>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</si>
  <si>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</si>
  <si>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</si>
  <si>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</si>
  <si>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</si>
  <si>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</si>
  <si>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</si>
  <si>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</si>
  <si>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</si>
  <si>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</si>
  <si>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</si>
  <si>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</si>
  <si>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</si>
  <si>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</si>
  <si>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</si>
  <si>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</si>
  <si>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</si>
  <si>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</si>
  <si>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</si>
  <si>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</si>
  <si>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</si>
  <si>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</si>
  <si>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</si>
  <si>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</si>
  <si>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</si>
  <si>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</si>
  <si>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</si>
  <si>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</si>
  <si>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</si>
  <si>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</si>
  <si>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</si>
  <si>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</si>
  <si>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</si>
  <si>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</si>
  <si>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</si>
  <si>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</si>
  <si>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</si>
  <si>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</si>
  <si>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</si>
  <si>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</si>
  <si>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</si>
  <si>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</si>
  <si>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</si>
  <si>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</si>
  <si>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</si>
  <si>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</si>
  <si>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</si>
  <si>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</si>
  <si>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</si>
  <si>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</si>
  <si>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</si>
  <si>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</si>
  <si>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</si>
  <si>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</si>
  <si>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</si>
  <si>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</si>
  <si>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</si>
  <si>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</si>
  <si>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</si>
  <si>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</si>
  <si>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</si>
  <si>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</si>
  <si>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</si>
  <si>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</si>
  <si>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</si>
  <si>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</si>
  <si>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</si>
  <si>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</si>
  <si>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</si>
  <si>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</si>
  <si>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</si>
  <si>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</si>
  <si>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</si>
  <si>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</si>
  <si>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</si>
  <si>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</si>
  <si>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</si>
  <si>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</si>
  <si>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</si>
  <si>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</si>
  <si>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</si>
  <si>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</si>
  <si>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</si>
  <si>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</si>
  <si>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</si>
  <si>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</si>
  <si>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</si>
  <si>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</si>
  <si>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</si>
  <si>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</si>
  <si>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</si>
  <si>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</si>
  <si>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</si>
  <si>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</si>
  <si>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</si>
  <si>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</si>
  <si>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</si>
  <si>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</si>
  <si>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</si>
  <si>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</si>
  <si>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</si>
  <si>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</si>
  <si>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</si>
  <si>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</si>
  <si>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</si>
  <si>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</si>
  <si>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</si>
  <si>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</si>
  <si>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</si>
  <si>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</si>
  <si>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</si>
  <si>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</si>
  <si>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</si>
  <si>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</si>
  <si>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</si>
  <si>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</si>
  <si>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</si>
  <si>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</si>
  <si>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</si>
  <si>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</si>
  <si>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</si>
  <si>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</si>
  <si>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</si>
  <si>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</si>
  <si>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</si>
  <si>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</si>
  <si>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</si>
  <si>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</si>
  <si>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</si>
  <si>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</si>
  <si>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</si>
  <si>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</si>
  <si>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</si>
  <si>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</si>
  <si>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</si>
  <si>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</si>
  <si>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</si>
  <si>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</si>
  <si>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</si>
  <si>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</si>
  <si>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</si>
  <si>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</si>
  <si>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</si>
  <si>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</si>
  <si>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</si>
  <si>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</si>
  <si>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</si>
  <si>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</si>
  <si>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</si>
  <si>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</si>
  <si>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</si>
  <si>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</si>
  <si>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</si>
  <si>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</si>
  <si>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</si>
  <si>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</si>
  <si>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</si>
  <si>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</si>
  <si>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</si>
  <si>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</si>
  <si>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</si>
  <si>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</si>
  <si>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</si>
  <si>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</si>
  <si>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</si>
  <si>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</si>
  <si>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</si>
  <si>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</si>
  <si>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</si>
  <si>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</si>
  <si>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</si>
  <si>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</si>
  <si>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</si>
  <si>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</si>
  <si>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</si>
  <si>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</si>
  <si>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</si>
  <si>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</si>
  <si>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</si>
  <si>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</si>
  <si>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</si>
  <si>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</si>
  <si>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</si>
  <si>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</si>
  <si>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</si>
  <si>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</si>
  <si>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</si>
  <si>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</si>
  <si>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</si>
  <si>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</si>
  <si>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</si>
  <si>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</si>
  <si>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</si>
  <si>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</si>
  <si>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</si>
  <si>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</si>
  <si>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</si>
  <si>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</si>
  <si>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</si>
  <si>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</si>
  <si>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</si>
  <si>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</si>
  <si>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</si>
  <si>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</si>
  <si>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</si>
  <si>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</si>
  <si>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</si>
  <si>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</si>
  <si>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</si>
  <si>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</si>
  <si>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</si>
  <si>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</si>
  <si>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</si>
  <si>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</si>
  <si>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</si>
  <si>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</si>
  <si>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</si>
  <si>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</si>
  <si>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</si>
  <si>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</si>
  <si>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</si>
  <si>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</si>
  <si>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</si>
  <si>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</si>
  <si>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</si>
  <si>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</si>
  <si>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</si>
  <si>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</si>
  <si>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</si>
  <si>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</si>
  <si>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</si>
  <si>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</si>
  <si>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</si>
  <si>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</si>
  <si>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</si>
  <si>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</si>
  <si>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</si>
  <si>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</si>
  <si>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</si>
  <si>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</si>
  <si>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</si>
  <si>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</si>
  <si>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</si>
  <si>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</si>
  <si>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</si>
  <si>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</si>
  <si>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</si>
  <si>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</si>
  <si>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</si>
  <si>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</si>
  <si>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</si>
  <si>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</si>
  <si>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</si>
  <si>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</si>
  <si>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</si>
  <si>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</si>
  <si>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</si>
  <si>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</si>
  <si>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</si>
  <si>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</si>
  <si>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</si>
  <si>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</si>
  <si>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</si>
  <si>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</si>
  <si>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</si>
  <si>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</si>
  <si>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</si>
  <si>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</si>
  <si>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</si>
  <si>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</si>
  <si>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</si>
  <si>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</si>
  <si>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</si>
  <si>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</si>
  <si>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</si>
  <si>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</si>
  <si>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</si>
  <si>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</si>
  <si>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</si>
  <si>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</si>
  <si>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</si>
  <si>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</si>
  <si>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</si>
  <si>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</si>
  <si>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</si>
  <si>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</si>
  <si>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</si>
  <si>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</si>
  <si>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</si>
  <si>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</si>
  <si>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</si>
  <si>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</si>
  <si>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</si>
  <si>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</si>
  <si>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</si>
  <si>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</si>
  <si>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</si>
  <si>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</si>
  <si>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</si>
  <si>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</si>
  <si>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</si>
  <si>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</si>
  <si>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</si>
  <si>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</si>
  <si>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</si>
  <si>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</si>
  <si>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</si>
  <si>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</si>
  <si>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</si>
  <si>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</si>
  <si>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</si>
  <si>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</si>
  <si>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</si>
  <si>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</si>
  <si>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</si>
  <si>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</si>
  <si>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</si>
  <si>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</si>
  <si>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</si>
  <si>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</si>
  <si>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</si>
  <si>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</si>
  <si>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</si>
  <si>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</si>
  <si>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</si>
  <si>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</si>
  <si>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</si>
  <si>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</si>
  <si>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</si>
  <si>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</si>
  <si>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</si>
  <si>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</si>
  <si>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</si>
  <si>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</si>
  <si>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</si>
  <si>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</si>
  <si>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</si>
  <si>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</si>
  <si>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</si>
  <si>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</si>
  <si>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</si>
  <si>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</si>
  <si>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</si>
  <si>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</si>
  <si>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</si>
  <si>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</si>
  <si>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</si>
  <si>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</si>
  <si>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</si>
  <si>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</si>
  <si>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</si>
  <si>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</si>
  <si>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</si>
  <si>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</si>
  <si>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</si>
  <si>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</si>
  <si>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</si>
  <si>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</si>
  <si>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</si>
  <si>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</si>
  <si>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</si>
  <si>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</si>
  <si>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</si>
  <si>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</si>
  <si>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</si>
  <si>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</si>
  <si>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</si>
  <si>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</si>
  <si>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</si>
  <si>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</si>
  <si>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</si>
  <si>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</si>
  <si>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</si>
  <si>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</si>
  <si>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</si>
  <si>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</si>
  <si>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</si>
  <si>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</si>
  <si>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</si>
  <si>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</si>
  <si>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</si>
  <si>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</si>
  <si>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</si>
  <si>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</si>
  <si>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</si>
  <si>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</si>
  <si>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</si>
  <si>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</si>
  <si>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</si>
  <si>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</si>
  <si>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</si>
  <si>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</si>
  <si>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</si>
  <si>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</si>
  <si>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</si>
  <si>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</si>
  <si>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</si>
  <si>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</si>
  <si>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</si>
  <si>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</si>
  <si>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</si>
  <si>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</si>
  <si>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</si>
  <si>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</si>
  <si>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</si>
  <si>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</si>
  <si>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</si>
  <si>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</si>
  <si>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</si>
  <si>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</si>
  <si>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</si>
  <si>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</si>
  <si>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</si>
  <si>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</si>
  <si>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</si>
  <si>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</si>
  <si>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</si>
  <si>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</si>
  <si>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</si>
  <si>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</si>
  <si>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</si>
  <si>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</si>
  <si>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</si>
  <si>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</si>
  <si>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</si>
  <si>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</si>
  <si>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</si>
  <si>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</si>
  <si>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</si>
  <si>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</si>
  <si>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</si>
  <si>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</si>
  <si>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</si>
  <si>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</si>
  <si>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</si>
  <si>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</si>
  <si>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</si>
  <si>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</si>
  <si>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</si>
  <si>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</si>
  <si>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</si>
  <si>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</si>
  <si>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</si>
  <si>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</si>
  <si>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</si>
  <si>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</si>
  <si>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</si>
  <si>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</si>
  <si>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</si>
  <si>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</si>
  <si>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</si>
  <si>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</si>
  <si>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</si>
  <si>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</si>
  <si>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</si>
  <si>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</si>
  <si>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</si>
  <si>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</si>
  <si>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</si>
  <si>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</si>
  <si>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</si>
  <si>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</si>
  <si>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</si>
  <si>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</si>
  <si>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</si>
  <si>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</si>
  <si>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</si>
  <si>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</si>
  <si>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</si>
  <si>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</si>
  <si>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</si>
  <si>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</si>
  <si>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</si>
  <si>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</si>
  <si>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</si>
  <si>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</si>
  <si>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</si>
  <si>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</si>
  <si>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</si>
  <si>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</si>
  <si>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</si>
  <si>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</si>
  <si>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</si>
  <si>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</si>
  <si>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</si>
  <si>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</si>
  <si>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</si>
  <si>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</si>
  <si>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</si>
  <si>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</si>
  <si>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</si>
  <si>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</si>
  <si>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</si>
  <si>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</si>
  <si>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</si>
  <si>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</si>
  <si>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</si>
  <si>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</si>
  <si>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</si>
  <si>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</si>
  <si>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</si>
  <si>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</si>
  <si>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</si>
  <si>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</si>
  <si>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</si>
  <si>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</si>
  <si>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</si>
  <si>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</si>
  <si>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</si>
  <si>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</si>
  <si>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</si>
  <si>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</si>
  <si>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</si>
  <si>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</si>
  <si>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</si>
  <si>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</si>
  <si>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</si>
  <si>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</si>
  <si>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</si>
  <si>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</si>
  <si>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</si>
  <si>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</si>
  <si>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</si>
  <si>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</si>
  <si>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</si>
  <si>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</si>
  <si>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</si>
  <si>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</si>
  <si>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</si>
  <si>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</si>
  <si>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</si>
  <si>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</si>
  <si>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</si>
  <si>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</si>
  <si>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</si>
  <si>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</si>
  <si>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</si>
  <si>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</si>
  <si>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</si>
  <si>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</si>
  <si>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</si>
  <si>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</si>
  <si>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</si>
  <si>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</si>
  <si>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</si>
  <si>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</si>
  <si>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</si>
  <si>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</si>
  <si>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</si>
  <si>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</si>
  <si>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</si>
  <si>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</si>
  <si>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</si>
  <si>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</si>
  <si>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</si>
  <si>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</si>
  <si>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</si>
  <si>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</si>
  <si>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</si>
  <si>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</si>
  <si>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</si>
  <si>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</si>
  <si>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</si>
  <si>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</si>
  <si>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</si>
  <si>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</si>
  <si>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</si>
  <si>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</si>
  <si>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</si>
  <si>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</si>
  <si>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</si>
  <si>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</si>
  <si>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</si>
  <si>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</si>
  <si>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</si>
  <si>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</si>
  <si>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</si>
  <si>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</si>
  <si>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</si>
  <si>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</si>
  <si>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</si>
  <si>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</si>
  <si>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</si>
  <si>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</si>
  <si>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</si>
  <si>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</si>
  <si>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</si>
  <si>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</si>
  <si>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</si>
  <si>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</si>
  <si>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</si>
  <si>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</si>
  <si>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</si>
  <si>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</si>
  <si>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</si>
  <si>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</si>
  <si>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</si>
  <si>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</si>
  <si>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</si>
  <si>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</si>
  <si>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</si>
  <si>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</si>
  <si>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</si>
  <si>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</si>
  <si>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</si>
  <si>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</si>
  <si>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</si>
  <si>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</si>
  <si>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</si>
  <si>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</si>
  <si>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</si>
  <si>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</si>
  <si>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</si>
  <si>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</si>
  <si>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</si>
  <si>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</si>
  <si>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</si>
  <si>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</si>
  <si>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</si>
  <si>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</si>
  <si>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</si>
  <si>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</si>
  <si>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</si>
  <si>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</si>
  <si>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</si>
  <si>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</si>
  <si>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</si>
  <si>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</si>
  <si>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</si>
  <si>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</si>
  <si>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</si>
  <si>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</si>
  <si>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</si>
  <si>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</si>
  <si>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</si>
  <si>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</si>
  <si>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</si>
  <si>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</si>
  <si>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</si>
  <si>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</si>
  <si>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</si>
  <si>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</si>
  <si>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</si>
  <si>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</si>
  <si>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</si>
  <si>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</si>
  <si>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</si>
  <si>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</si>
  <si>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</si>
  <si>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</si>
  <si>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</si>
  <si>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</si>
  <si>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</si>
  <si>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</si>
  <si>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</si>
  <si>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</si>
  <si>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</si>
  <si>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</si>
  <si>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</si>
  <si>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</si>
  <si>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</si>
  <si>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</si>
  <si>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</si>
  <si>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</si>
  <si>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</si>
  <si>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</si>
  <si>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</si>
  <si>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</si>
  <si>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</si>
  <si>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</si>
  <si>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</si>
  <si>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</si>
  <si>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</si>
  <si>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</si>
  <si>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</si>
  <si>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</si>
  <si>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</si>
  <si>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</si>
  <si>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</si>
  <si>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</si>
  <si>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</si>
  <si>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</si>
  <si>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</si>
  <si>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</si>
  <si>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</si>
  <si>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</si>
  <si>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</si>
  <si>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</si>
  <si>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</si>
  <si>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</si>
  <si>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</si>
  <si>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</si>
  <si>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</si>
  <si>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</si>
  <si>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</si>
  <si>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</si>
  <si>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</si>
  <si>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</si>
  <si>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</si>
  <si>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</si>
  <si>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</si>
  <si>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</si>
  <si>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</si>
  <si>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</si>
  <si>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</si>
  <si>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</si>
  <si>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</si>
  <si>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</si>
  <si>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</si>
  <si>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</si>
  <si>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</si>
  <si>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</si>
  <si>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</si>
  <si>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</si>
  <si>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</si>
  <si>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</si>
  <si>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</si>
  <si>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</si>
  <si>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</si>
  <si>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</si>
  <si>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</si>
  <si>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</si>
  <si>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</si>
  <si>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</si>
  <si>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</si>
  <si>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</si>
  <si>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</si>
  <si>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</si>
  <si>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</si>
  <si>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</si>
  <si>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</si>
  <si>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</si>
  <si>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</si>
  <si>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</si>
  <si>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</si>
  <si>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</si>
  <si>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</si>
  <si>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</si>
  <si>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</si>
  <si>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</si>
  <si>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</si>
  <si>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</si>
  <si>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</si>
  <si>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</si>
  <si>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</si>
  <si>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</si>
  <si>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</si>
  <si>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</si>
  <si>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</si>
  <si>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</si>
  <si>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</si>
  <si>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</si>
  <si>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</si>
  <si>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</si>
  <si>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</si>
  <si>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</si>
  <si>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</si>
  <si>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</si>
  <si>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</si>
  <si>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</si>
  <si>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</si>
  <si>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</si>
  <si>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</si>
  <si>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</si>
  <si>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</si>
  <si>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</si>
  <si>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</si>
  <si>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</si>
  <si>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</si>
  <si>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</si>
  <si>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</si>
  <si>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</si>
  <si>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</si>
  <si>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</si>
  <si>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</si>
  <si>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</si>
  <si>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</si>
  <si>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</si>
  <si>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</si>
  <si>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</si>
  <si>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</si>
  <si>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</si>
  <si>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</si>
  <si>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</si>
  <si>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</si>
  <si>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</si>
  <si>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</si>
  <si>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</si>
  <si>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</si>
  <si>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</si>
  <si>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</si>
  <si>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</si>
  <si>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</si>
  <si>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</si>
  <si>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</si>
  <si>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</si>
  <si>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</si>
  <si>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</si>
  <si>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</si>
  <si>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</si>
  <si>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</si>
  <si>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</si>
  <si>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</si>
  <si>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</si>
  <si>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</si>
  <si>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</si>
  <si>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</si>
  <si>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</si>
  <si>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</si>
  <si>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</si>
  <si>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</si>
  <si>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</si>
  <si>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</si>
  <si>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</si>
  <si>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</si>
  <si>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</si>
  <si>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</si>
  <si>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</si>
  <si>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</si>
  <si>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</si>
  <si>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</si>
  <si>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</si>
  <si>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</si>
  <si>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</si>
  <si>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</si>
  <si>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</si>
  <si>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</si>
  <si>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</si>
  <si>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</si>
  <si>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</si>
  <si>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</si>
  <si>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</si>
  <si>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</si>
  <si>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</si>
  <si>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</si>
  <si>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</si>
  <si>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</si>
  <si>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</si>
  <si>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</si>
  <si>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</si>
  <si>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</si>
  <si>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</si>
  <si>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</si>
  <si>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</si>
  <si>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</si>
  <si>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</si>
  <si>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</si>
  <si>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</si>
  <si>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</si>
  <si>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</si>
  <si>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</si>
  <si>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</si>
  <si>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</si>
  <si>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</si>
  <si>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</si>
  <si>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</si>
  <si>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</si>
  <si>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</si>
  <si>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</si>
  <si>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</si>
  <si>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</si>
  <si>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</si>
  <si>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</si>
  <si>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</si>
  <si>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</si>
  <si>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</si>
  <si>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</si>
  <si>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</si>
  <si>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</si>
  <si>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</si>
  <si>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</si>
  <si>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</si>
  <si>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</si>
  <si>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</si>
  <si>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</si>
  <si>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</si>
  <si>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</si>
  <si>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</si>
  <si>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</si>
  <si>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</si>
  <si>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</si>
  <si>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</si>
  <si>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</si>
  <si>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</si>
  <si>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</si>
  <si>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</si>
  <si>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</si>
  <si>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</si>
  <si>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</si>
  <si>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</si>
  <si>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</si>
  <si>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</si>
  <si>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</si>
  <si>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</si>
  <si>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</si>
  <si>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</si>
  <si>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</si>
  <si>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</si>
  <si>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</si>
  <si>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</si>
  <si>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</si>
  <si>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</si>
  <si>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</si>
  <si>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</si>
  <si>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</si>
  <si>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</si>
  <si>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</si>
  <si>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</si>
  <si>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</si>
  <si>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</si>
  <si>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</si>
  <si>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</si>
  <si>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</si>
  <si>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</si>
  <si>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</si>
  <si>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</si>
  <si>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</si>
  <si>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</si>
  <si>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</si>
  <si>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</si>
  <si>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</si>
  <si>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</si>
  <si>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</si>
  <si>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</si>
  <si>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</si>
  <si>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</si>
  <si>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</si>
  <si>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</si>
  <si>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</si>
  <si>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</si>
  <si>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</si>
  <si>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</si>
  <si>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</si>
  <si>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</si>
  <si>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</si>
  <si>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</si>
  <si>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</si>
  <si>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</si>
  <si>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</si>
  <si>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</si>
  <si>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</si>
  <si>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</si>
  <si>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</si>
  <si>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</si>
  <si>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</si>
  <si>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</si>
  <si>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</si>
  <si>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</si>
  <si>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</si>
  <si>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</si>
  <si>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</si>
  <si>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</si>
  <si>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</si>
  <si>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</si>
  <si>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</si>
  <si>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</si>
  <si>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</si>
  <si>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</si>
  <si>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</si>
  <si>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</si>
  <si>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</si>
  <si>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</si>
  <si>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</si>
  <si>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</si>
  <si>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</si>
  <si>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</si>
  <si>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</si>
  <si>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</si>
  <si>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</si>
  <si>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</si>
  <si>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</si>
  <si>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</si>
  <si>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</si>
  <si>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</si>
  <si>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</si>
  <si>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</si>
  <si>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</si>
  <si>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</si>
  <si>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</si>
  <si>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</si>
  <si>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</si>
  <si>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</si>
  <si>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</si>
  <si>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</si>
  <si>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</si>
  <si>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</si>
  <si>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</si>
  <si>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</si>
  <si>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</si>
  <si>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</si>
  <si>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</si>
  <si>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</si>
  <si>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</si>
  <si>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</si>
  <si>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</si>
  <si>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</si>
  <si>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</si>
  <si>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</si>
  <si>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</si>
  <si>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</si>
  <si>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</si>
  <si>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</si>
  <si>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</si>
  <si>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</si>
  <si>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</si>
  <si>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</si>
  <si>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</si>
  <si>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</si>
  <si>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</si>
  <si>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</si>
  <si>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</si>
  <si>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</si>
  <si>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</si>
  <si>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</si>
  <si>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</si>
  <si>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</si>
  <si>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</si>
  <si>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</si>
  <si>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</si>
  <si>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</si>
  <si>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</si>
  <si>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</si>
  <si>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</si>
  <si>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</si>
  <si>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</si>
  <si>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</si>
  <si>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</si>
  <si>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</si>
  <si>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</si>
  <si>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</si>
  <si>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</si>
  <si>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</si>
  <si>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</si>
  <si>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</si>
  <si>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</si>
  <si>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</si>
  <si>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</si>
  <si>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</si>
  <si>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</si>
  <si>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</si>
  <si>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</si>
  <si>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</si>
  <si>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</si>
  <si>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</si>
  <si>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</si>
  <si>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</si>
  <si>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</si>
  <si>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</si>
  <si>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</si>
  <si>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</si>
  <si>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</si>
  <si>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</si>
  <si>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</si>
  <si>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</si>
  <si>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</si>
  <si>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</si>
  <si>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</si>
  <si>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</si>
  <si>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</si>
  <si>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</si>
  <si>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</si>
  <si>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</si>
  <si>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</si>
  <si>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</si>
  <si>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</si>
  <si>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</si>
  <si>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</si>
  <si>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</si>
  <si>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</si>
  <si>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</si>
  <si>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</si>
  <si>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</si>
  <si>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</si>
  <si>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</si>
  <si>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</si>
  <si>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</si>
  <si>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</si>
  <si>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</si>
  <si>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</si>
  <si>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</si>
  <si>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</si>
  <si>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</si>
  <si>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</si>
  <si>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</si>
  <si>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</si>
  <si>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</si>
  <si>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</si>
  <si>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</si>
  <si>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</si>
  <si>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</si>
  <si>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</si>
  <si>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</si>
  <si>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</si>
  <si>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</si>
  <si>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</si>
  <si>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</si>
  <si>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</si>
  <si>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</si>
  <si>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</si>
  <si>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</si>
  <si>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</si>
  <si>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</si>
  <si>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</si>
  <si>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</si>
  <si>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</si>
  <si>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</si>
  <si>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</si>
  <si>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</si>
  <si>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</si>
  <si>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</si>
  <si>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</si>
  <si>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</si>
  <si>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</si>
  <si>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</si>
  <si>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</si>
  <si>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</si>
  <si>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</si>
  <si>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</si>
  <si>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</si>
  <si>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</si>
  <si>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</si>
  <si>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</si>
  <si>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</si>
  <si>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</si>
  <si>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</si>
  <si>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</si>
  <si>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</si>
  <si>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</si>
  <si>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</si>
  <si>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</si>
  <si>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</si>
  <si>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</si>
  <si>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</si>
  <si>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</si>
  <si>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</si>
  <si>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</si>
  <si>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</si>
  <si>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</si>
  <si>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</si>
  <si>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</si>
  <si>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</si>
  <si>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</si>
  <si>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</si>
  <si>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</si>
  <si>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</si>
  <si>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</si>
  <si>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</si>
  <si>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</si>
  <si>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</si>
  <si>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</si>
  <si>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</si>
  <si>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</si>
  <si>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</si>
  <si>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</si>
  <si>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</si>
  <si>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</si>
  <si>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</si>
  <si>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</si>
  <si>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</si>
  <si>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</si>
  <si>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</si>
  <si>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</si>
  <si>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</si>
  <si>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</si>
  <si>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</si>
  <si>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</si>
  <si>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</si>
  <si>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</si>
  <si>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</si>
  <si>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</si>
  <si>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</si>
  <si>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</si>
  <si>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</si>
  <si>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</si>
  <si>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</si>
  <si>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</si>
  <si>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</si>
  <si>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</si>
  <si>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</si>
  <si>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</si>
  <si>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</si>
  <si>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</si>
  <si>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</si>
  <si>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</si>
  <si>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</si>
  <si>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</si>
  <si>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</si>
  <si>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</si>
  <si>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</si>
  <si>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</si>
  <si>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</si>
  <si>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</si>
  <si>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</si>
  <si>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</si>
  <si>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</si>
  <si>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</si>
  <si>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</si>
  <si>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</si>
  <si>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</si>
  <si>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</si>
  <si>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</si>
  <si>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</si>
  <si>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</si>
  <si>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</si>
  <si>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</si>
  <si>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</si>
  <si>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</si>
  <si>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</si>
  <si>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</si>
  <si>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</si>
  <si>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</si>
  <si>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</si>
  <si>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</si>
  <si>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</si>
  <si>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</si>
  <si>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</si>
  <si>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</si>
  <si>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</si>
  <si>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</si>
  <si>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</si>
  <si>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</si>
  <si>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</si>
  <si>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</si>
  <si>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</si>
  <si>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</si>
  <si>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</si>
  <si>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</si>
  <si>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</si>
  <si>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</si>
  <si>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</si>
  <si>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</si>
  <si>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</si>
  <si>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</si>
  <si>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</si>
  <si>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</si>
  <si>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</si>
  <si>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</si>
  <si>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</si>
  <si>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</si>
  <si>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</si>
  <si>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</si>
  <si>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</si>
  <si>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</si>
  <si>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</si>
  <si>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</si>
  <si>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</si>
  <si>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</si>
  <si>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</si>
  <si>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</si>
  <si>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</si>
  <si>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</si>
  <si>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</si>
  <si>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</si>
  <si>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</si>
  <si>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</si>
  <si>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</si>
  <si>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</si>
  <si>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</si>
  <si>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</si>
  <si>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</si>
  <si>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</si>
  <si>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</si>
  <si>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</si>
  <si>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</si>
  <si>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</si>
  <si>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</si>
  <si>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</si>
  <si>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</si>
  <si>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</si>
  <si>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</si>
  <si>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</si>
  <si>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</si>
  <si>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</si>
  <si>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</si>
  <si>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</si>
  <si>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</si>
  <si>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</si>
  <si>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</si>
  <si>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</si>
  <si>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</si>
  <si>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</si>
  <si>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</si>
  <si>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</si>
  <si>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</si>
  <si>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</si>
  <si>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</si>
  <si>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</si>
  <si>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</si>
  <si>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</si>
  <si>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</si>
  <si>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</si>
  <si>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</si>
  <si>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</si>
  <si>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</si>
  <si>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</si>
  <si>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</si>
  <si>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</si>
  <si>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</si>
  <si>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</si>
  <si>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</si>
  <si>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</si>
  <si>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</si>
  <si>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</si>
  <si>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</si>
  <si>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</si>
  <si>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</si>
  <si>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</si>
  <si>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</si>
  <si>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</si>
  <si>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</si>
  <si>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</si>
  <si>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</si>
  <si>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</si>
  <si>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</si>
  <si>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</si>
  <si>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</si>
  <si>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</si>
  <si>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</si>
  <si>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</si>
  <si>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</si>
  <si>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</si>
  <si>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</si>
  <si>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</si>
  <si>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</si>
  <si>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</si>
  <si>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</si>
  <si>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</si>
  <si>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</si>
  <si>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</si>
  <si>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</si>
  <si>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</si>
  <si>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</si>
  <si>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</si>
  <si>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</si>
  <si>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</si>
  <si>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</si>
  <si>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</si>
  <si>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</si>
  <si>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</si>
  <si>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</si>
  <si>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</si>
  <si>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</si>
  <si>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</si>
  <si>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</si>
  <si>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</si>
  <si>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</si>
  <si>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</si>
  <si>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</si>
  <si>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</si>
  <si>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</si>
  <si>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</si>
  <si>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</si>
  <si>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</si>
  <si>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</si>
  <si>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</si>
  <si>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</si>
  <si>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</si>
  <si>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</si>
  <si>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</si>
  <si>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</si>
  <si>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</si>
  <si>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</si>
  <si>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</si>
  <si>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</si>
  <si>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</si>
  <si>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</si>
  <si>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</si>
  <si>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</si>
  <si>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</si>
  <si>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</si>
  <si>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</si>
  <si>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</si>
  <si>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</si>
  <si>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</si>
  <si>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</si>
  <si>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</si>
  <si>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</si>
  <si>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</si>
  <si>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</si>
  <si>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</si>
  <si>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</si>
  <si>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</si>
  <si>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</si>
  <si>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</si>
  <si>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</si>
  <si>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</si>
  <si>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</si>
  <si>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</si>
  <si>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</si>
  <si>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</si>
  <si>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</si>
  <si>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</si>
  <si>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</si>
  <si>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</si>
  <si>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</si>
  <si>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</si>
  <si>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</si>
  <si>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</si>
  <si>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</si>
  <si>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</si>
  <si>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</si>
  <si>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</si>
  <si>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</si>
  <si>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</si>
  <si>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</si>
  <si>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</si>
  <si>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</si>
  <si>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</si>
  <si>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</si>
  <si>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</si>
  <si>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</si>
  <si>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</si>
  <si>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</si>
  <si>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</si>
  <si>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</si>
  <si>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</si>
  <si>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</si>
  <si>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</si>
  <si>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</si>
  <si>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</si>
  <si>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</si>
  <si>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</si>
  <si>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</si>
  <si>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</si>
  <si>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</si>
  <si>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</si>
  <si>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</si>
  <si>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</si>
  <si>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</si>
  <si>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</si>
  <si>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</si>
  <si>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</si>
  <si>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</si>
  <si>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</si>
  <si>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</si>
  <si>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</si>
  <si>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</si>
  <si>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</si>
  <si>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</si>
  <si>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</si>
  <si>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</si>
  <si>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</si>
  <si>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</si>
  <si>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</si>
  <si>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</si>
  <si>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</si>
  <si>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</si>
  <si>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</si>
  <si>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</si>
  <si>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</si>
  <si>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</si>
  <si>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</si>
  <si>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</si>
  <si>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</si>
  <si>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</si>
  <si>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</si>
  <si>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</si>
  <si>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</si>
  <si>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</si>
  <si>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</si>
  <si>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</si>
  <si>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</si>
  <si>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</si>
  <si>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</si>
  <si>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</si>
  <si>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</si>
  <si>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</si>
  <si>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</si>
  <si>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</si>
  <si>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</si>
  <si>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</si>
  <si>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</si>
  <si>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</si>
  <si>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</si>
  <si>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</si>
  <si>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</si>
  <si>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</si>
  <si>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</si>
  <si>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</si>
  <si>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</si>
  <si>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</si>
  <si>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</si>
  <si>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</si>
  <si>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</si>
  <si>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</si>
  <si>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</si>
  <si>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</si>
  <si>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</si>
  <si>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</si>
  <si>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</si>
  <si>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</si>
  <si>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</si>
  <si>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</si>
  <si>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</si>
  <si>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</si>
  <si>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</si>
  <si>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</si>
  <si>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</si>
  <si>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</si>
  <si>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</si>
  <si>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</si>
  <si>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</si>
  <si>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</si>
  <si>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</si>
  <si>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</si>
  <si>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</si>
  <si>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</si>
  <si>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</si>
  <si>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</si>
  <si>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</si>
  <si>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</si>
  <si>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</si>
  <si>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</si>
  <si>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</si>
  <si>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</si>
  <si>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</si>
  <si>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</si>
  <si>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</si>
  <si>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</si>
  <si>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</si>
  <si>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</si>
  <si>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</si>
  <si>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</si>
  <si>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</si>
  <si>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</si>
  <si>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</si>
  <si>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</si>
  <si>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</si>
  <si>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</si>
  <si>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</si>
  <si>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</si>
  <si>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</si>
  <si>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</si>
  <si>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</si>
  <si>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</si>
  <si>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</si>
  <si>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</si>
  <si>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</si>
  <si>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</si>
  <si>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</si>
  <si>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</si>
  <si>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</si>
  <si>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</si>
  <si>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</si>
  <si>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</si>
  <si>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</si>
  <si>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</si>
  <si>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</si>
  <si>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</si>
  <si>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</si>
  <si>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</si>
  <si>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</si>
  <si>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</si>
  <si>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</si>
  <si>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</si>
  <si>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</si>
  <si>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</si>
  <si>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</si>
  <si>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</si>
  <si>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</si>
  <si>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</si>
  <si>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</si>
  <si>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</si>
  <si>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</si>
  <si>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</si>
  <si>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</si>
  <si>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</si>
  <si>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</si>
  <si>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</si>
  <si>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</si>
  <si>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</si>
  <si>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</si>
  <si>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</si>
  <si>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</si>
  <si>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</si>
  <si>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</si>
  <si>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</si>
  <si>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</si>
  <si>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</si>
  <si>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</si>
  <si>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</si>
  <si>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</si>
  <si>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</si>
  <si>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</si>
  <si>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</si>
  <si>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</si>
  <si>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</si>
  <si>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</si>
  <si>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</si>
  <si>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</si>
  <si>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</si>
  <si>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</si>
  <si>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</si>
  <si>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</si>
  <si>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</si>
  <si>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</si>
  <si>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</si>
  <si>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</si>
  <si>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</si>
  <si>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</si>
  <si>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</si>
  <si>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</si>
  <si>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</si>
  <si>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</si>
  <si>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</si>
  <si>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</si>
  <si>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</si>
  <si>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</si>
  <si>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</si>
  <si>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</si>
  <si>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</si>
  <si>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</si>
  <si>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</si>
  <si>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</si>
  <si>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</si>
  <si>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</si>
  <si>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</si>
  <si>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</si>
  <si>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</si>
  <si>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</si>
  <si>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</si>
  <si>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</si>
  <si>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</si>
  <si>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</si>
  <si>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</si>
  <si>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</si>
  <si>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</si>
  <si>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</si>
  <si>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</si>
  <si>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</si>
  <si>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</si>
  <si>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</si>
  <si>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</si>
  <si>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</si>
  <si>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</si>
  <si>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</si>
  <si>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</si>
  <si>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</si>
  <si>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</si>
  <si>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</si>
  <si>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</si>
  <si>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</si>
  <si>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</si>
  <si>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</si>
  <si>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</si>
  <si>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</si>
  <si>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</si>
  <si>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</si>
  <si>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</si>
  <si>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</si>
  <si>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</si>
  <si>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</si>
  <si>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</si>
  <si>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</si>
  <si>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</si>
  <si>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</si>
  <si>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</si>
  <si>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</si>
  <si>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</si>
  <si>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</si>
  <si>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</si>
  <si>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</si>
  <si>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</si>
  <si>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</si>
  <si>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</si>
  <si>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</si>
  <si>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</si>
  <si>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</si>
  <si>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</si>
  <si>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</si>
  <si>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</si>
  <si>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</si>
  <si>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</si>
  <si>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</si>
  <si>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</si>
  <si>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</si>
  <si>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</si>
  <si>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</si>
  <si>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</si>
  <si>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</si>
  <si>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</si>
  <si>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</si>
  <si>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</si>
  <si>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</si>
  <si>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</si>
  <si>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</si>
  <si>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</si>
  <si>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</si>
  <si>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</si>
  <si>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</si>
  <si>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</si>
  <si>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</si>
  <si>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</si>
  <si>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</si>
  <si>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</si>
  <si>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</si>
  <si>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</si>
  <si>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</si>
  <si>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</si>
  <si>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</si>
  <si>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</si>
  <si>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</si>
  <si>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</si>
  <si>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</si>
  <si>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</si>
  <si>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</si>
  <si>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</si>
  <si>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</si>
  <si>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</si>
  <si>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</si>
  <si>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</si>
  <si>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</si>
  <si>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</si>
  <si>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</si>
  <si>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</si>
  <si>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</si>
  <si>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</si>
  <si>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</si>
  <si>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</si>
  <si>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</si>
  <si>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</si>
  <si>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</si>
  <si>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</si>
  <si>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</si>
  <si>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</si>
  <si>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</si>
  <si>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</si>
  <si>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</si>
  <si>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</si>
  <si>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</si>
  <si>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</si>
  <si>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</si>
  <si>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</si>
  <si>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</si>
  <si>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</si>
  <si>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</si>
  <si>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</si>
  <si>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</si>
  <si>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</si>
  <si>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</si>
  <si>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</si>
  <si>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</si>
  <si>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</si>
  <si>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</si>
  <si>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</si>
  <si>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</si>
  <si>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</si>
  <si>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</si>
  <si>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</si>
  <si>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</si>
  <si>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</si>
  <si>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</si>
  <si>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</si>
  <si>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</si>
  <si>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</si>
  <si>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</si>
  <si>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</si>
  <si>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</si>
  <si>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</si>
  <si>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</si>
  <si>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</si>
  <si>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</si>
  <si>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</si>
  <si>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</si>
  <si>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</si>
  <si>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</si>
  <si>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</si>
  <si>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</si>
  <si>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</si>
  <si>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</si>
  <si>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</si>
  <si>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</si>
  <si>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</si>
  <si>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</si>
  <si>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</si>
  <si>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</si>
  <si>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</si>
  <si>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</si>
  <si>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</si>
  <si>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</si>
  <si>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</si>
  <si>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</si>
  <si>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</si>
  <si>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</si>
  <si>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</si>
  <si>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</si>
  <si>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</si>
  <si>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</si>
  <si>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</si>
  <si>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</si>
  <si>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</si>
  <si>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</si>
  <si>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</si>
  <si>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</si>
  <si>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</si>
  <si>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</si>
  <si>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</si>
  <si>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</si>
  <si>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</si>
  <si>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</si>
  <si>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</si>
  <si>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</si>
  <si>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</si>
  <si>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</si>
  <si>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</si>
  <si>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</si>
  <si>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</si>
  <si>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</si>
  <si>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</si>
  <si>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</si>
  <si>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</si>
  <si>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</si>
  <si>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</si>
  <si>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</si>
  <si>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</si>
  <si>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</si>
  <si>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</si>
  <si>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</si>
  <si>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</si>
  <si>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</si>
  <si>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</si>
  <si>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</si>
  <si>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</si>
  <si>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</si>
  <si>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</si>
  <si>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</si>
  <si>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</si>
  <si>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</si>
  <si>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</si>
  <si>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</si>
  <si>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</si>
  <si>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</si>
  <si>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</si>
  <si>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</si>
  <si>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</si>
  <si>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</si>
  <si>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</si>
  <si>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</si>
  <si>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</si>
  <si>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</si>
  <si>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</si>
  <si>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</si>
  <si>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</si>
  <si>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</si>
  <si>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</si>
  <si>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</si>
  <si>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</si>
  <si>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</si>
  <si>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</si>
  <si>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</si>
  <si>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</si>
  <si>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</si>
  <si>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</si>
  <si>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</si>
  <si>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</si>
  <si>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</si>
  <si>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</si>
  <si>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</si>
  <si>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</si>
  <si>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</si>
  <si>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</si>
  <si>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</si>
  <si>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</si>
  <si>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</si>
  <si>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</si>
  <si>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</si>
  <si>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</si>
  <si>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</si>
  <si>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</si>
  <si>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</si>
  <si>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</si>
  <si>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</si>
  <si>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</si>
  <si>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</si>
  <si>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</si>
  <si>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</si>
  <si>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</si>
  <si>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</si>
  <si>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</si>
  <si>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</si>
  <si>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</si>
  <si>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</si>
  <si>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</si>
  <si>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</si>
  <si>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</si>
  <si>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</si>
  <si>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</si>
  <si>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</si>
  <si>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</si>
  <si>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</si>
  <si>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</si>
  <si>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</si>
  <si>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</si>
  <si>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</si>
  <si>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</si>
  <si>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</si>
  <si>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</si>
  <si>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</si>
  <si>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</si>
  <si>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</si>
  <si>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</si>
  <si>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</si>
  <si>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</si>
  <si>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</si>
  <si>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</si>
  <si>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</si>
  <si>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</si>
  <si>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</si>
  <si>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</si>
  <si>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</si>
  <si>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</si>
  <si>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</si>
  <si>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</si>
  <si>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</si>
  <si>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</si>
  <si>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</si>
  <si>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</si>
  <si>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</si>
  <si>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</si>
  <si>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</si>
  <si>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</si>
  <si>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</si>
  <si>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</si>
  <si>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</si>
  <si>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</si>
  <si>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</si>
  <si>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</si>
  <si>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</si>
  <si>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</si>
  <si>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</si>
  <si>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</si>
  <si>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</si>
  <si>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</si>
  <si>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</si>
  <si>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</si>
  <si>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</si>
  <si>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</si>
  <si>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</si>
  <si>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</si>
  <si>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</si>
  <si>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</si>
  <si>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</si>
  <si>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</si>
  <si>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</si>
  <si>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</si>
  <si>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</si>
  <si>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</si>
  <si>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</si>
  <si>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</si>
  <si>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</si>
  <si>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</si>
  <si>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</si>
  <si>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</si>
  <si>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</si>
  <si>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</si>
  <si>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</si>
  <si>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</si>
  <si>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</si>
  <si>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</si>
  <si>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</si>
  <si>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</si>
  <si>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</si>
  <si>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</si>
  <si>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</si>
  <si>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</si>
  <si>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</si>
  <si>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</si>
  <si>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</si>
  <si>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</si>
  <si>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</si>
  <si>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</si>
  <si>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</si>
  <si>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</si>
  <si>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</si>
  <si>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</si>
  <si>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</si>
  <si>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</si>
  <si>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</si>
  <si>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</si>
  <si>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</si>
  <si>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</si>
  <si>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</si>
  <si>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</si>
  <si>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</si>
  <si>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</si>
  <si>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</si>
  <si>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</si>
  <si>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</si>
  <si>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</si>
  <si>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</si>
  <si>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</si>
  <si>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</si>
  <si>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</si>
  <si>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</si>
  <si>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</si>
  <si>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</si>
  <si>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</si>
  <si>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</si>
  <si>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</si>
  <si>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</si>
  <si>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</si>
  <si>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</si>
  <si>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</si>
  <si>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</si>
  <si>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</si>
  <si>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</si>
  <si>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</si>
  <si>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</si>
  <si>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</si>
  <si>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</si>
  <si>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</si>
  <si>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</si>
  <si>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</si>
  <si>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</si>
  <si>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</si>
  <si>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</si>
  <si>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</si>
  <si>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</si>
  <si>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</si>
  <si>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</si>
  <si>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</si>
  <si>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</si>
  <si>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</si>
  <si>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</si>
  <si>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</si>
  <si>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</si>
  <si>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</si>
  <si>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</si>
  <si>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</si>
  <si>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</si>
  <si>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</si>
  <si>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</si>
  <si>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</si>
  <si>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</si>
  <si>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</si>
  <si>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</si>
  <si>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</si>
  <si>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</si>
  <si>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</si>
  <si>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</si>
  <si>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</si>
  <si>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</si>
  <si>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</si>
  <si>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</si>
  <si>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</si>
  <si>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</si>
  <si>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</si>
  <si>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</si>
  <si>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</si>
  <si>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</si>
  <si>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</si>
  <si>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</si>
  <si>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</si>
  <si>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</si>
  <si>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</si>
  <si>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</si>
  <si>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</si>
  <si>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</si>
  <si>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</si>
  <si>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</si>
  <si>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</si>
  <si>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</si>
  <si>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</si>
  <si>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</si>
  <si>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</si>
  <si>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</si>
  <si>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</si>
  <si>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</si>
  <si>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</si>
  <si>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</si>
  <si>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</si>
  <si>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</si>
  <si>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</si>
  <si>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</si>
  <si>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</si>
  <si>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</si>
  <si>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</si>
  <si>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</si>
  <si>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</si>
  <si>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</si>
  <si>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</si>
  <si>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</si>
  <si>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</si>
  <si>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</si>
  <si>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</si>
  <si>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</si>
  <si>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</si>
  <si>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</si>
  <si>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</si>
  <si>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</si>
  <si>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</si>
  <si>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</si>
  <si>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</si>
  <si>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</si>
  <si>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</si>
  <si>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</si>
  <si>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</si>
  <si>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</si>
  <si>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</si>
  <si>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</si>
  <si>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</si>
  <si>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</si>
  <si>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</si>
  <si>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</si>
  <si>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</si>
  <si>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</si>
  <si>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</si>
  <si>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</si>
  <si>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</si>
  <si>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</si>
  <si>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</si>
  <si>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</si>
  <si>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</si>
  <si>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</si>
  <si>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</si>
  <si>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</si>
  <si>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</si>
  <si>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</si>
  <si>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</si>
  <si>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</si>
  <si>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</si>
  <si>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</si>
  <si>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</si>
  <si>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</si>
  <si>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</si>
  <si>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</si>
  <si>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</si>
  <si>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</si>
  <si>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</si>
  <si>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</si>
  <si>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</si>
  <si>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</si>
  <si>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</si>
  <si>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</si>
  <si>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</si>
  <si>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</si>
  <si>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</si>
  <si>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</si>
  <si>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</si>
  <si>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</si>
  <si>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</si>
  <si>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</si>
  <si>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</si>
  <si>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</si>
  <si>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</si>
  <si>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</si>
  <si>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</si>
  <si>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</si>
  <si>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</si>
  <si>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</si>
  <si>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</si>
  <si>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</si>
  <si>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</si>
  <si>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</si>
  <si>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</si>
  <si>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</si>
  <si>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</si>
  <si>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</si>
  <si>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</si>
  <si>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</si>
  <si>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</si>
  <si>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</si>
  <si>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</si>
  <si>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</si>
  <si>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</si>
  <si>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</si>
  <si>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</si>
  <si>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</si>
  <si>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</si>
  <si>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</si>
  <si>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</si>
  <si>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</si>
  <si>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</si>
  <si>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</si>
  <si>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</si>
  <si>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</si>
  <si>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</si>
  <si>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</si>
  <si>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</si>
  <si>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</si>
  <si>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</si>
  <si>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</si>
  <si>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</si>
  <si>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</si>
  <si>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</si>
  <si>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</si>
  <si>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</si>
  <si>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</si>
  <si>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</si>
  <si>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</si>
  <si>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</si>
  <si>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</si>
  <si>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</si>
  <si>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</si>
  <si>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</si>
  <si>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</si>
  <si>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</si>
  <si>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</si>
  <si>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</si>
  <si>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</si>
  <si>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</si>
  <si>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</si>
  <si>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</si>
  <si>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</si>
  <si>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</si>
  <si>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</si>
  <si>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</si>
  <si>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</si>
  <si>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</si>
  <si>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</si>
  <si>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</si>
  <si>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</si>
  <si>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</si>
  <si>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</si>
  <si>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</si>
  <si>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</si>
  <si>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</si>
  <si>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</si>
  <si>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</si>
  <si>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</si>
  <si>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</si>
  <si>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</si>
  <si>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</si>
  <si>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</si>
  <si>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</si>
  <si>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</si>
  <si>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</si>
  <si>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</si>
  <si>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</si>
  <si>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</si>
  <si>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</si>
  <si>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</si>
  <si>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</si>
  <si>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</si>
  <si>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</si>
  <si>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</si>
  <si>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</si>
  <si>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</si>
  <si>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</si>
  <si>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</si>
  <si>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</si>
  <si>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</si>
  <si>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</si>
  <si>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</si>
  <si>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</si>
  <si>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</si>
  <si>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</si>
  <si>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</si>
  <si>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</si>
  <si>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</si>
  <si>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</si>
  <si>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</si>
  <si>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</si>
  <si>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</si>
  <si>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</si>
  <si>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</si>
  <si>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</si>
  <si>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</si>
  <si>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</si>
  <si>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</si>
  <si>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</si>
  <si>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</si>
  <si>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</si>
  <si>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</si>
  <si>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</si>
  <si>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</si>
  <si>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</si>
  <si>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</si>
  <si>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</si>
  <si>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</si>
  <si>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</si>
  <si>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</si>
  <si>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</si>
  <si>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</si>
  <si>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</si>
  <si>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</si>
  <si>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</si>
  <si>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</si>
  <si>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</si>
  <si>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</si>
  <si>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</si>
  <si>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</si>
  <si>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</si>
  <si>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</si>
  <si>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</si>
  <si>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</si>
  <si>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</si>
  <si>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</si>
  <si>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</si>
  <si>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</si>
  <si>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</si>
  <si>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</si>
  <si>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</si>
  <si>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</si>
  <si>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</si>
  <si>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</si>
  <si>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</si>
  <si>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</si>
  <si>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</si>
  <si>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</si>
  <si>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</si>
  <si>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</si>
  <si>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</si>
  <si>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</si>
  <si>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</si>
  <si>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</si>
  <si>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</si>
  <si>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</si>
  <si>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</si>
  <si>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</si>
  <si>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</si>
  <si>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</si>
  <si>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</si>
  <si>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</si>
  <si>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</si>
  <si>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</si>
  <si>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</si>
  <si>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</si>
  <si>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</si>
  <si>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</si>
  <si>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</si>
  <si>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</si>
  <si>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</si>
  <si>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</si>
  <si>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</si>
  <si>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</si>
  <si>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</si>
  <si>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</si>
  <si>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</si>
  <si>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</si>
  <si>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</si>
  <si>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</si>
  <si>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</si>
  <si>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</si>
  <si>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</si>
  <si>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</si>
  <si>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</si>
  <si>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</si>
  <si>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</si>
  <si>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</si>
  <si>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</si>
  <si>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</si>
  <si>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</si>
  <si>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</si>
  <si>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</si>
  <si>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</si>
  <si>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</si>
  <si>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</si>
  <si>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</si>
  <si>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</si>
  <si>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</si>
  <si>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</si>
  <si>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</si>
  <si>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</si>
  <si>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</si>
  <si>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</si>
  <si>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</si>
  <si>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</si>
  <si>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</si>
  <si>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</si>
  <si>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</si>
  <si>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</si>
  <si>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</si>
  <si>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</si>
  <si>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</si>
  <si>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</si>
  <si>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</si>
  <si>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</si>
  <si>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</si>
  <si>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</si>
  <si>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</si>
  <si>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</si>
  <si>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</si>
  <si>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</si>
  <si>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</si>
  <si>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</si>
  <si>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</si>
  <si>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</si>
  <si>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</si>
  <si>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</si>
  <si>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</si>
  <si>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</si>
  <si>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</si>
  <si>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</si>
  <si>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</si>
  <si>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</si>
  <si>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</si>
  <si>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</si>
  <si>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</si>
  <si>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</si>
  <si>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</si>
  <si>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</si>
  <si>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</si>
  <si>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</si>
  <si>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</si>
  <si>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</si>
  <si>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</si>
  <si>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</si>
  <si>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</si>
  <si>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</si>
  <si>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</si>
  <si>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</si>
  <si>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</si>
  <si>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</si>
  <si>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</si>
  <si>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</si>
  <si>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</si>
  <si>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</si>
  <si>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</si>
  <si>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</si>
  <si>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</si>
  <si>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</si>
  <si>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</si>
  <si>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</si>
  <si>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</si>
  <si>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</si>
  <si>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</si>
  <si>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</si>
  <si>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</si>
  <si>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</si>
  <si>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</si>
  <si>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</si>
  <si>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</si>
  <si>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</si>
  <si>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</si>
  <si>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</si>
  <si>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</si>
  <si>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</si>
  <si>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</si>
  <si>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</si>
  <si>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</si>
  <si>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</si>
  <si>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</si>
  <si>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</si>
  <si>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</si>
  <si>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</si>
  <si>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</si>
  <si>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</si>
  <si>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</si>
  <si>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</si>
  <si>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</si>
  <si>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</si>
  <si>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</si>
  <si>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</si>
  <si>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</si>
  <si>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</si>
  <si>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</si>
  <si>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</si>
  <si>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</si>
  <si>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</si>
  <si>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</si>
  <si>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</si>
  <si>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</si>
  <si>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</si>
  <si>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</si>
  <si>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</si>
  <si>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</si>
  <si>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</si>
  <si>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</si>
  <si>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</si>
  <si>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</si>
  <si>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</si>
  <si>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</si>
  <si>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</si>
  <si>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</si>
  <si>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</si>
  <si>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</si>
  <si>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</si>
  <si>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</si>
  <si>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</si>
  <si>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</si>
  <si>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</si>
  <si>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</si>
  <si>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</si>
  <si>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</si>
  <si>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</si>
  <si>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</si>
  <si>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</si>
  <si>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</si>
  <si>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</si>
  <si>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</si>
  <si>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</si>
  <si>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</si>
  <si>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</si>
  <si>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</si>
  <si>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</si>
  <si>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</si>
  <si>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</si>
  <si>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</si>
  <si>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</si>
  <si>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</si>
  <si>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</si>
  <si>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</si>
  <si>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</si>
  <si>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</si>
  <si>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</si>
  <si>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</si>
  <si>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</si>
  <si>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</si>
  <si>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</si>
  <si>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</si>
  <si>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</si>
  <si>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</si>
  <si>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</si>
  <si>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</si>
  <si>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</si>
  <si>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</si>
  <si>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</si>
  <si>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</si>
  <si>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</si>
  <si>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</si>
  <si>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</si>
  <si>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</si>
  <si>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</si>
  <si>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</si>
  <si>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</si>
  <si>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</si>
  <si>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</si>
  <si>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</si>
  <si>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</si>
  <si>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</si>
  <si>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</si>
  <si>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</si>
  <si>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</si>
  <si>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</si>
  <si>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</si>
  <si>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</si>
  <si>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</si>
  <si>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</si>
  <si>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</si>
  <si>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</si>
  <si>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</si>
  <si>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</si>
  <si>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</si>
  <si>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</si>
  <si>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</si>
  <si>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</si>
  <si>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</si>
  <si>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</si>
  <si>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</si>
  <si>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</si>
  <si>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</si>
  <si>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</si>
  <si>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</si>
  <si>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</si>
  <si>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</si>
  <si>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</si>
  <si>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</si>
  <si>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</si>
  <si>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</si>
  <si>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</si>
  <si>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</si>
  <si>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</si>
  <si>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</si>
  <si>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</si>
  <si>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</si>
  <si>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</si>
  <si>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</si>
  <si>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</si>
  <si>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</si>
  <si>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</si>
  <si>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</si>
  <si>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</si>
  <si>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</si>
  <si>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</si>
  <si>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</si>
  <si>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</si>
  <si>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</si>
  <si>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</si>
  <si>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</si>
  <si>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</si>
  <si>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</si>
  <si>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</si>
  <si>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</si>
  <si>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</si>
  <si>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</si>
  <si>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</si>
  <si>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</si>
  <si>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</si>
  <si>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</si>
  <si>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</si>
  <si>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</si>
  <si>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</si>
  <si>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</si>
  <si>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</si>
  <si>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</si>
  <si>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</si>
  <si>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</si>
  <si>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</si>
  <si>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</si>
  <si>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</si>
  <si>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</si>
  <si>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</si>
  <si>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</si>
  <si>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</si>
  <si>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</si>
  <si>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</si>
  <si>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</si>
  <si>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</si>
  <si>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</si>
  <si>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</si>
  <si>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</si>
  <si>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</si>
  <si>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</si>
  <si>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</si>
  <si>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</si>
  <si>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</si>
  <si>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</si>
  <si>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</si>
  <si>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</si>
  <si>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</si>
  <si>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</si>
  <si>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</si>
  <si>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</si>
  <si>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</si>
  <si>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</si>
  <si>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</si>
  <si>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</si>
  <si>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</si>
  <si>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</si>
  <si>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</si>
  <si>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</si>
  <si>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</si>
  <si>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</si>
  <si>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</si>
  <si>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</si>
  <si>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</si>
  <si>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</si>
  <si>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</si>
  <si>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</si>
  <si>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</si>
  <si>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</si>
  <si>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</si>
  <si>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</si>
  <si>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</si>
  <si>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</si>
  <si>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</si>
  <si>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</si>
  <si>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</si>
  <si>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</si>
  <si>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</si>
  <si>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</si>
  <si>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</si>
  <si>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</si>
  <si>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</si>
  <si>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</si>
  <si>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</si>
  <si>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</si>
  <si>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</si>
  <si>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</si>
  <si>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</si>
  <si>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</si>
  <si>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</si>
  <si>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</si>
  <si>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</si>
  <si>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</si>
  <si>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</si>
  <si>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</si>
  <si>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</si>
  <si>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</si>
  <si>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</si>
  <si>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</si>
  <si>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</si>
  <si>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</si>
  <si>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</si>
  <si>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</si>
  <si>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</si>
  <si>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</si>
  <si>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</si>
  <si>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</si>
  <si>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</si>
  <si>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</si>
  <si>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</si>
  <si>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</si>
  <si>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</si>
  <si>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</si>
  <si>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</si>
  <si>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</si>
  <si>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</si>
  <si>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</si>
  <si>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</si>
  <si>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</si>
  <si>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</si>
  <si>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</si>
  <si>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</si>
  <si>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</si>
  <si>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</si>
  <si>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</si>
  <si>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</si>
  <si>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</si>
  <si>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</si>
  <si>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</si>
  <si>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</si>
  <si>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</si>
  <si>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</si>
  <si>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</si>
  <si>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</si>
  <si>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</si>
  <si>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</si>
  <si>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</si>
  <si>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</si>
  <si>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</si>
  <si>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</si>
  <si>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</si>
  <si>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</si>
  <si>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</si>
  <si>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</si>
  <si>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</si>
  <si>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</si>
  <si>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</si>
  <si>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</si>
  <si>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</si>
  <si>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</si>
  <si>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</si>
  <si>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</si>
  <si>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</si>
  <si>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</si>
  <si>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</si>
  <si>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</si>
  <si>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</si>
  <si>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</si>
  <si>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</si>
  <si>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</si>
  <si>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</si>
  <si>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</si>
  <si>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</si>
  <si>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</si>
  <si>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</si>
  <si>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</si>
  <si>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</si>
  <si>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</si>
  <si>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</si>
  <si>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</si>
  <si>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</si>
  <si>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</si>
  <si>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</si>
  <si>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</si>
  <si>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</si>
  <si>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</si>
  <si>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</si>
  <si>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</si>
  <si>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</si>
  <si>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</si>
  <si>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</si>
  <si>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</si>
  <si>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</si>
  <si>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</si>
  <si>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</si>
  <si>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</si>
  <si>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</si>
  <si>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</si>
  <si>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</si>
  <si>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</si>
  <si>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</si>
  <si>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</si>
  <si>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</si>
  <si>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</si>
  <si>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</si>
  <si>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</si>
  <si>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</si>
  <si>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</si>
  <si>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</si>
  <si>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</si>
  <si>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</si>
  <si>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</si>
  <si>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</si>
  <si>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</si>
  <si>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</si>
  <si>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</si>
  <si>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</si>
  <si>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</si>
  <si>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</si>
  <si>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</si>
  <si>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</si>
  <si>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</si>
  <si>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</si>
  <si>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</si>
  <si>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</si>
  <si>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</si>
  <si>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</si>
  <si>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</si>
  <si>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</si>
  <si>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</si>
  <si>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</si>
  <si>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</si>
  <si>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</si>
  <si>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</si>
  <si>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</si>
  <si>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</si>
  <si>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</si>
  <si>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</si>
  <si>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</si>
  <si>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</si>
  <si>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</si>
  <si>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</si>
  <si>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</si>
  <si>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</si>
  <si>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</si>
  <si>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</si>
  <si>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</si>
  <si>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</si>
  <si>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</si>
  <si>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</si>
  <si>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</si>
  <si>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</si>
  <si>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</si>
  <si>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</si>
  <si>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</si>
  <si>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</si>
  <si>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</si>
  <si>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</si>
  <si>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</si>
  <si>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</si>
  <si>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</si>
  <si>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</si>
  <si>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</si>
  <si>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</si>
  <si>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</si>
  <si>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</si>
  <si>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</si>
  <si>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</si>
  <si>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</si>
  <si>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</si>
  <si>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</si>
  <si>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</si>
  <si>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</si>
  <si>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</si>
  <si>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</si>
  <si>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</si>
  <si>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</si>
  <si>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</si>
  <si>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</si>
  <si>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</si>
  <si>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</si>
  <si>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</si>
  <si>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</si>
  <si>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</si>
  <si>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</si>
  <si>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</si>
  <si>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</si>
  <si>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</si>
  <si>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</si>
  <si>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</si>
  <si>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</si>
  <si>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</si>
  <si>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</si>
  <si>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</si>
  <si>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</si>
  <si>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</si>
  <si>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</si>
  <si>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</si>
  <si>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</si>
  <si>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</si>
  <si>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</si>
  <si>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</si>
  <si>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</si>
  <si>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</si>
  <si>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</si>
  <si>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</si>
  <si>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</si>
  <si>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</si>
  <si>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</si>
  <si>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</si>
  <si>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</si>
  <si>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</si>
  <si>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</si>
  <si>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</si>
  <si>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</si>
  <si>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</si>
  <si>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</si>
  <si>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</si>
  <si>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</si>
  <si>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</si>
  <si>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</si>
  <si>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</si>
  <si>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</si>
  <si>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</si>
  <si>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</si>
  <si>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</si>
  <si>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</si>
  <si>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</si>
  <si>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</si>
  <si>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</si>
  <si>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</si>
  <si>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</si>
  <si>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</si>
  <si>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</si>
  <si>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</si>
  <si>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</si>
  <si>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</si>
  <si>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</si>
  <si>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</si>
  <si>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</si>
  <si>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</si>
  <si>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</si>
  <si>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</si>
  <si>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</si>
  <si>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</si>
  <si>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</si>
  <si>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</si>
  <si>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</si>
  <si>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</si>
  <si>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</si>
  <si>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</si>
  <si>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</si>
  <si>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</si>
  <si>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</si>
  <si>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</si>
  <si>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</si>
  <si>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</si>
  <si>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</si>
  <si>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</si>
  <si>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</si>
  <si>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</si>
  <si>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</si>
  <si>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</si>
  <si>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</si>
  <si>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</si>
  <si>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</si>
  <si>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</si>
  <si>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</si>
  <si>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</si>
  <si>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</si>
  <si>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</si>
  <si>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</si>
  <si>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</si>
  <si>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</si>
  <si>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</si>
  <si>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</si>
  <si>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</si>
  <si>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</si>
  <si>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</si>
  <si>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</si>
  <si>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</si>
  <si>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</si>
  <si>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</si>
  <si>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</si>
  <si>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</si>
  <si>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</si>
  <si>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</si>
  <si>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</si>
  <si>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</si>
  <si>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</si>
  <si>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</si>
  <si>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</si>
  <si>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</si>
  <si>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</si>
  <si>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</si>
  <si>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</si>
  <si>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</si>
  <si>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</si>
  <si>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</si>
  <si>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</si>
  <si>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</si>
  <si>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</si>
  <si>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</si>
  <si>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</si>
  <si>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</si>
  <si>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</si>
  <si>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</si>
  <si>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</si>
  <si>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</si>
  <si>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</si>
  <si>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</si>
  <si>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</si>
  <si>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</si>
  <si>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</si>
  <si>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</si>
  <si>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</si>
  <si>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</si>
  <si>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</si>
  <si>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</si>
  <si>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</si>
  <si>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</si>
  <si>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</si>
  <si>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</si>
  <si>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</si>
  <si>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</si>
  <si>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</si>
  <si>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</si>
  <si>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</si>
  <si>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</si>
  <si>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</si>
  <si>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</si>
  <si>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</si>
  <si>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</si>
  <si>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</si>
  <si>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</si>
  <si>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</si>
  <si>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</si>
  <si>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</si>
  <si>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</si>
  <si>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</si>
  <si>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</si>
  <si>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</si>
  <si>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</si>
  <si>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</si>
  <si>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</si>
  <si>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</si>
  <si>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</si>
  <si>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</si>
  <si>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</si>
  <si>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</si>
  <si>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</si>
  <si>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</si>
  <si>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</si>
  <si>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</si>
  <si>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</si>
  <si>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</si>
  <si>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</si>
  <si>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</si>
  <si>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</si>
  <si>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</si>
  <si>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</si>
  <si>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</si>
  <si>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</si>
  <si>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</si>
  <si>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</si>
  <si>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</si>
  <si>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</si>
  <si>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</si>
  <si>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</si>
  <si>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</si>
  <si>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</si>
  <si>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</si>
  <si>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</si>
  <si>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</si>
  <si>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</si>
  <si>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</si>
  <si>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</si>
  <si>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</si>
  <si>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</si>
  <si>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</si>
  <si>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</si>
  <si>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</si>
  <si>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</si>
  <si>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</si>
  <si>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</si>
  <si>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</si>
  <si>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</si>
  <si>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</si>
  <si>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</si>
  <si>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</si>
  <si>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</si>
  <si>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</si>
  <si>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</si>
  <si>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</si>
  <si>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</si>
  <si>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</si>
  <si>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</si>
  <si>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</si>
  <si>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</si>
  <si>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</si>
  <si>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</si>
  <si>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</si>
  <si>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</si>
  <si>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</si>
  <si>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</si>
  <si>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</si>
  <si>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</si>
  <si>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</si>
  <si>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</si>
  <si>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</si>
  <si>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</si>
  <si>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</si>
  <si>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</si>
  <si>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</si>
  <si>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</si>
  <si>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</si>
  <si>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</si>
  <si>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</si>
  <si>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</si>
  <si>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</si>
  <si>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</si>
  <si>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</si>
  <si>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</si>
  <si>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</si>
  <si>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</si>
  <si>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</si>
  <si>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</si>
  <si>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</si>
  <si>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</si>
  <si>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</si>
  <si>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</si>
  <si>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</si>
  <si>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</si>
  <si>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</si>
  <si>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</si>
  <si>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</si>
  <si>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</si>
  <si>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</si>
  <si>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</si>
  <si>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</si>
  <si>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</si>
  <si>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</si>
  <si>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</si>
  <si>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</si>
  <si>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</si>
  <si>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</si>
  <si>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</si>
  <si>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</si>
  <si>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</si>
  <si>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</si>
  <si>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</si>
  <si>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</si>
  <si>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</si>
  <si>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</si>
  <si>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</si>
  <si>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</si>
  <si>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</si>
  <si>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</si>
  <si>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</si>
  <si>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</si>
  <si>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</si>
  <si>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</si>
  <si>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</si>
  <si>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</si>
  <si>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</si>
  <si>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</si>
  <si>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</si>
  <si>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</si>
  <si>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</si>
  <si>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</si>
  <si>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</si>
  <si>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</si>
  <si>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</si>
  <si>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</si>
  <si>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</si>
  <si>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</si>
  <si>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</si>
  <si>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</si>
  <si>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</si>
  <si>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</si>
  <si>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</si>
  <si>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</si>
  <si>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</si>
  <si>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</si>
  <si>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</si>
  <si>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</si>
  <si>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</si>
  <si>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</si>
  <si>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</si>
  <si>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</si>
  <si>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</si>
  <si>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</si>
  <si>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</si>
  <si>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</si>
  <si>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</si>
  <si>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</si>
  <si>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</si>
  <si>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</si>
  <si>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</si>
  <si>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</si>
  <si>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</si>
  <si>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</si>
  <si>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</si>
  <si>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</si>
  <si>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</si>
  <si>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</si>
  <si>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</si>
  <si>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</si>
  <si>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</si>
  <si>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</si>
  <si>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</si>
  <si>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</si>
  <si>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</si>
  <si>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</si>
  <si>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</si>
  <si>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</si>
  <si>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</si>
  <si>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</si>
  <si>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</si>
  <si>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</si>
  <si>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</si>
  <si>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</si>
  <si>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</si>
  <si>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</si>
  <si>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</si>
  <si>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</si>
  <si>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</si>
  <si>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</si>
  <si>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</si>
  <si>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</si>
  <si>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</si>
  <si>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</si>
  <si>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</si>
  <si>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</si>
  <si>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</si>
  <si>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</si>
  <si>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</si>
  <si>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</si>
  <si>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</si>
  <si>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</si>
  <si>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</si>
  <si>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</si>
  <si>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</si>
  <si>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</si>
  <si>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</si>
  <si>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</si>
  <si>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</si>
  <si>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</si>
  <si>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</si>
  <si>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</si>
  <si>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</si>
  <si>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</si>
  <si>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</si>
  <si>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</si>
  <si>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</si>
  <si>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</si>
  <si>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</si>
  <si>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</si>
  <si>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</si>
  <si>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</si>
  <si>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</si>
  <si>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</si>
  <si>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</si>
  <si>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</si>
  <si>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</si>
  <si>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</si>
  <si>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</si>
  <si>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</si>
  <si>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</si>
  <si>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</si>
  <si>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</si>
  <si>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</si>
  <si>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</si>
  <si>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</si>
  <si>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</si>
  <si>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</si>
  <si>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</si>
  <si>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</si>
  <si>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</si>
  <si>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</si>
  <si>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</si>
  <si>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</si>
  <si>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</si>
  <si>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</si>
  <si>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</si>
  <si>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</si>
  <si>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</si>
  <si>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</si>
  <si>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</si>
  <si>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</si>
  <si>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</si>
  <si>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</si>
  <si>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</si>
  <si>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</si>
  <si>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</si>
  <si>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</si>
  <si>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</si>
  <si>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</si>
  <si>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</si>
  <si>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</si>
  <si>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</si>
  <si>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</si>
  <si>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</si>
  <si>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</si>
  <si>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</si>
  <si>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</si>
  <si>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</si>
  <si>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</si>
  <si>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</si>
  <si>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</si>
  <si>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</si>
  <si>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</si>
  <si>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</si>
  <si>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</si>
  <si>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</si>
  <si>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</si>
  <si>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</si>
  <si>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</si>
  <si>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</si>
  <si>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</si>
  <si>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</si>
  <si>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</si>
  <si>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</si>
  <si>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</si>
  <si>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</si>
  <si>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</si>
  <si>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</si>
  <si>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</si>
  <si>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</si>
  <si>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</si>
  <si>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</si>
  <si>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</si>
  <si>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</si>
  <si>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</si>
  <si>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</si>
  <si>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</si>
  <si>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</si>
  <si>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</si>
  <si>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</si>
  <si>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</si>
  <si>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</si>
  <si>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</si>
  <si>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</si>
  <si>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</si>
  <si>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</si>
  <si>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</si>
  <si>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</si>
  <si>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</si>
  <si>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</si>
  <si>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</si>
  <si>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</si>
  <si>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</si>
  <si>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</si>
  <si>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</si>
  <si>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</si>
  <si>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</si>
  <si>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</si>
  <si>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</si>
  <si>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</si>
  <si>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</si>
  <si>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</si>
  <si>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</si>
  <si>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</si>
  <si>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</si>
  <si>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</si>
  <si>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</si>
  <si>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</si>
  <si>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</si>
  <si>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</si>
  <si>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</si>
  <si>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</si>
  <si>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</si>
  <si>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</si>
  <si>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</si>
  <si>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</si>
  <si>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</si>
  <si>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</si>
  <si>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</si>
  <si>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</si>
  <si>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</si>
  <si>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</si>
  <si>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</si>
  <si>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</si>
  <si>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</si>
  <si>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</si>
  <si>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</si>
  <si>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</si>
  <si>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</si>
  <si>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</si>
  <si>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</si>
  <si>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</si>
  <si>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</si>
  <si>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</si>
  <si>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</si>
  <si>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</si>
  <si>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</si>
  <si>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</si>
  <si>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</si>
  <si>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</si>
  <si>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</si>
  <si>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</si>
  <si>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</si>
  <si>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</si>
  <si>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</si>
  <si>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</si>
  <si>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</si>
  <si>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</si>
  <si>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</si>
  <si>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</si>
  <si>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</si>
  <si>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</si>
  <si>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</si>
  <si>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</si>
  <si>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</si>
  <si>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</si>
  <si>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</si>
  <si>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</si>
  <si>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</si>
  <si>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</si>
  <si>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</si>
  <si>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</si>
  <si>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</si>
  <si>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</si>
  <si>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</si>
  <si>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</si>
  <si>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</si>
  <si>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</si>
  <si>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</si>
  <si>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</si>
  <si>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</si>
  <si>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</si>
  <si>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</si>
  <si>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</si>
  <si>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</si>
  <si>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</si>
  <si>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</si>
  <si>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</si>
  <si>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</si>
  <si>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</si>
  <si>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</si>
  <si>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</si>
  <si>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</si>
  <si>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</si>
  <si>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</si>
  <si>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</si>
  <si>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</si>
  <si>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</si>
  <si>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</si>
  <si>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</si>
  <si>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</si>
  <si>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</si>
  <si>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</si>
  <si>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</si>
  <si>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</si>
  <si>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</si>
  <si>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</si>
  <si>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</si>
  <si>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</si>
  <si>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</si>
  <si>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</si>
  <si>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</si>
  <si>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</si>
  <si>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</si>
  <si>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</si>
  <si>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</si>
  <si>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</si>
  <si>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</si>
  <si>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</si>
  <si>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</si>
  <si>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</si>
  <si>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</si>
  <si>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</si>
  <si>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</si>
  <si>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</si>
  <si>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</si>
  <si>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</si>
  <si>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</si>
  <si>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</si>
  <si>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</si>
  <si>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</si>
  <si>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</si>
  <si>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</si>
  <si>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</si>
  <si>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</si>
  <si>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</si>
  <si>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</si>
  <si>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</si>
  <si>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</si>
  <si>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</si>
  <si>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</si>
  <si>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</si>
  <si>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</si>
  <si>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</si>
  <si>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</si>
  <si>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</si>
  <si>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</si>
  <si>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</si>
  <si>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</si>
  <si>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</si>
  <si>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</si>
  <si>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</si>
  <si>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</si>
  <si>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</si>
  <si>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</si>
  <si>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</si>
  <si>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</si>
  <si>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</si>
  <si>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</si>
  <si>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</si>
  <si>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</si>
  <si>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</si>
  <si>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</si>
  <si>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</si>
  <si>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</si>
  <si>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</si>
  <si>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</si>
  <si>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</si>
  <si>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</si>
  <si>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</si>
  <si>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</si>
  <si>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</si>
  <si>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</si>
  <si>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</si>
  <si>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</si>
  <si>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</si>
  <si>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</si>
  <si>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</si>
  <si>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</si>
  <si>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</si>
  <si>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</si>
  <si>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</si>
  <si>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</si>
  <si>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</si>
  <si>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</si>
  <si>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</si>
  <si>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</si>
  <si>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</si>
  <si>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</si>
  <si>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</si>
  <si>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</si>
  <si>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</si>
  <si>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</si>
  <si>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</si>
  <si>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</si>
  <si>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</si>
  <si>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</si>
  <si>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</si>
  <si>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</si>
  <si>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</si>
  <si>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</si>
  <si>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</si>
  <si>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</si>
  <si>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</si>
  <si>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</si>
  <si>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</si>
  <si>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</si>
  <si>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</si>
  <si>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</si>
  <si>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</si>
  <si>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</si>
  <si>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</si>
  <si>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</si>
  <si>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</si>
  <si>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</si>
  <si>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</si>
  <si>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</si>
  <si>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</si>
  <si>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</si>
  <si>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</si>
  <si>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</si>
  <si>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</si>
  <si>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</si>
  <si>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</si>
  <si>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</si>
  <si>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</si>
  <si>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</si>
  <si>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</si>
  <si>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</si>
  <si>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</si>
  <si>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</si>
  <si>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</si>
  <si>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</si>
  <si>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</si>
  <si>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</si>
  <si>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</si>
  <si>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</si>
  <si>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</si>
  <si>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</si>
  <si>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</si>
  <si>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</si>
  <si>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</si>
  <si>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</si>
  <si>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</si>
  <si>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</si>
  <si>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</si>
  <si>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</si>
  <si>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</si>
  <si>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</si>
  <si>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</si>
  <si>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</si>
  <si>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</si>
  <si>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</si>
  <si>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</si>
  <si>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</si>
  <si>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</si>
  <si>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</si>
  <si>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</si>
  <si>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</si>
  <si>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</si>
  <si>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</si>
  <si>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</si>
  <si>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</si>
  <si>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</si>
  <si>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</si>
  <si>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</si>
  <si>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</si>
  <si>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</si>
  <si>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</si>
  <si>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</si>
  <si>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</si>
  <si>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</si>
  <si>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</si>
  <si>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</si>
  <si>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</si>
  <si>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</si>
  <si>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</si>
  <si>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</si>
  <si>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</si>
  <si>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</si>
  <si>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</si>
  <si>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</si>
  <si>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</si>
  <si>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</si>
  <si>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</si>
  <si>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</si>
  <si>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</si>
  <si>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</si>
  <si>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</si>
  <si>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</si>
  <si>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</si>
  <si>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</si>
  <si>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</si>
  <si>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</si>
  <si>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</si>
  <si>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</si>
  <si>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</si>
  <si>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</si>
  <si>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</si>
  <si>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</si>
  <si>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</si>
  <si>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</si>
  <si>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</si>
  <si>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</si>
  <si>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</si>
  <si>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</si>
  <si>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</si>
  <si>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</si>
  <si>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</si>
  <si>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</si>
  <si>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</si>
  <si>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</si>
  <si>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</si>
  <si>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</si>
  <si>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</si>
  <si>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</si>
  <si>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</si>
  <si>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</si>
  <si>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</si>
  <si>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</si>
  <si>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</si>
  <si>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</si>
  <si>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</si>
  <si>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</si>
  <si>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</si>
  <si>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</si>
  <si>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</si>
  <si>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</si>
  <si>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</si>
  <si>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</si>
  <si>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</si>
  <si>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</si>
  <si>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</si>
  <si>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</si>
  <si>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</si>
  <si>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</si>
  <si>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</si>
  <si>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</si>
  <si>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</si>
  <si>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</si>
  <si>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</si>
  <si>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</si>
  <si>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</si>
  <si>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</si>
  <si>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</si>
  <si>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</si>
  <si>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</si>
  <si>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</si>
  <si>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</si>
  <si>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</si>
  <si>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</si>
  <si>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</si>
  <si>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</si>
  <si>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</si>
  <si>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</si>
  <si>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</si>
  <si>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</si>
  <si>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</si>
  <si>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</si>
  <si>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</si>
  <si>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</si>
  <si>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</si>
  <si>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</si>
  <si>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</si>
  <si>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</si>
  <si>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</si>
  <si>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</si>
  <si>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</si>
  <si>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</si>
  <si>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</si>
  <si>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</si>
  <si>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</si>
  <si>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</si>
  <si>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</si>
  <si>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</si>
  <si>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</si>
  <si>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</si>
  <si>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</si>
  <si>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</si>
  <si>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</si>
  <si>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</si>
  <si>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</si>
  <si>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</si>
  <si>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</si>
  <si>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</si>
  <si>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</si>
  <si>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</si>
  <si>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</si>
  <si>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</si>
  <si>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</si>
  <si>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</si>
  <si>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</si>
  <si>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</si>
  <si>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</si>
  <si>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</si>
  <si>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</si>
  <si>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</si>
  <si>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</si>
  <si>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</si>
  <si>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</si>
  <si>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</si>
  <si>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</si>
  <si>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</si>
  <si>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</si>
  <si>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</si>
  <si>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</si>
  <si>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</si>
  <si>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</si>
  <si>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</si>
  <si>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</si>
  <si>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</si>
  <si>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</si>
  <si>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</si>
  <si>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</si>
  <si>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</si>
  <si>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</si>
  <si>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</si>
  <si>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</si>
  <si>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</si>
  <si>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</si>
  <si>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</si>
  <si>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</si>
  <si>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</si>
  <si>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</si>
  <si>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</si>
  <si>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</si>
  <si>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</si>
  <si>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</si>
  <si>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</si>
  <si>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</si>
  <si>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</si>
  <si>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</si>
  <si>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</si>
  <si>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</si>
  <si>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</si>
  <si>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</si>
  <si>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</si>
  <si>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</si>
  <si>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</si>
  <si>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</si>
  <si>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</si>
  <si>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</si>
  <si>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</si>
  <si>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</si>
  <si>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</si>
  <si>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</si>
  <si>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</si>
  <si>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</si>
  <si>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</si>
  <si>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</si>
  <si>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</si>
  <si>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</si>
  <si>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</si>
  <si>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</si>
  <si>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</si>
  <si>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</si>
  <si>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</si>
  <si>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</si>
  <si>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</si>
  <si>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</si>
  <si>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</si>
  <si>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</si>
  <si>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</si>
  <si>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</si>
  <si>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</si>
  <si>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</si>
  <si>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</si>
  <si>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</si>
  <si>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</si>
  <si>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</si>
  <si>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</si>
  <si>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</si>
  <si>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</si>
  <si>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</si>
  <si>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</si>
  <si>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</si>
  <si>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</si>
  <si>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</si>
  <si>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</si>
  <si>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</si>
  <si>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</si>
  <si>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</si>
  <si>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</si>
  <si>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</si>
  <si>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</si>
  <si>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</si>
  <si>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</si>
  <si>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</si>
  <si>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</si>
  <si>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</si>
  <si>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</si>
  <si>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</si>
  <si>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</si>
  <si>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</si>
  <si>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</si>
  <si>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</si>
  <si>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</si>
  <si>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</si>
  <si>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</si>
  <si>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</si>
  <si>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</si>
  <si>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</si>
  <si>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</si>
  <si>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</si>
  <si>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</si>
  <si>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</si>
  <si>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</si>
  <si>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</si>
  <si>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</si>
  <si>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</si>
  <si>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</si>
  <si>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</si>
  <si>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</si>
  <si>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</si>
  <si>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</si>
  <si>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</si>
  <si>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</si>
  <si>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</si>
  <si>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</si>
  <si>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</si>
  <si>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</si>
  <si>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</si>
  <si>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</si>
  <si>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</si>
  <si>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</si>
  <si>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</si>
  <si>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</si>
  <si>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</si>
  <si>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</si>
  <si>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</si>
  <si>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</si>
  <si>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</si>
  <si>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</si>
  <si>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</si>
  <si>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</si>
  <si>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</si>
  <si>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</si>
  <si>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</si>
  <si>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</si>
  <si>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</si>
  <si>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</si>
  <si>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</si>
  <si>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</si>
  <si>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</si>
  <si>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</si>
  <si>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</si>
  <si>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</si>
  <si>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</si>
  <si>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</si>
  <si>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</si>
  <si>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</si>
  <si>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</si>
  <si>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</si>
  <si>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</si>
  <si>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</si>
  <si>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</si>
  <si>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</si>
  <si>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</si>
  <si>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</si>
  <si>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</si>
  <si>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</si>
  <si>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</si>
  <si>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</si>
  <si>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</si>
  <si>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</si>
  <si>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</si>
  <si>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</si>
  <si>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</si>
  <si>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</si>
  <si>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</si>
  <si>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</si>
  <si>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</si>
  <si>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</si>
  <si>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</si>
  <si>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</si>
  <si>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</si>
  <si>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</si>
  <si>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</si>
  <si>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</si>
  <si>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</si>
  <si>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</si>
  <si>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</si>
  <si>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</si>
  <si>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</si>
  <si>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</si>
  <si>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</si>
  <si>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</si>
  <si>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</si>
  <si>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</si>
  <si>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</si>
  <si>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</si>
  <si>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</si>
  <si>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</si>
  <si>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</si>
  <si>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</si>
  <si>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</si>
  <si>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</si>
  <si>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</si>
  <si>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</si>
  <si>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</si>
  <si>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</si>
  <si>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</si>
  <si>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</si>
  <si>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</si>
  <si>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</si>
  <si>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</si>
  <si>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</si>
  <si>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</si>
  <si>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</si>
  <si>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</si>
  <si>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</si>
  <si>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</si>
  <si>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</si>
  <si>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</si>
  <si>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</si>
  <si>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</si>
  <si>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</si>
  <si>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</si>
  <si>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</si>
  <si>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</si>
  <si>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</si>
  <si>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</si>
  <si>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</si>
  <si>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</si>
  <si>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</si>
  <si>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</si>
  <si>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</si>
  <si>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</si>
  <si>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</si>
  <si>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</si>
  <si>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</si>
  <si>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</si>
  <si>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</si>
  <si>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</si>
  <si>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</si>
  <si>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</si>
  <si>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</si>
  <si>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</si>
  <si>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</si>
  <si>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</si>
  <si>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</si>
  <si>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</si>
  <si>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</si>
  <si>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</si>
  <si>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</si>
  <si>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</si>
  <si>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</si>
  <si>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</si>
  <si>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</si>
  <si>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</si>
  <si>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</si>
  <si>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</si>
  <si>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</si>
  <si>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</si>
  <si>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</si>
  <si>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</si>
  <si>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</si>
  <si>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</si>
  <si>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</si>
  <si>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</si>
  <si>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</si>
  <si>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</si>
  <si>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</si>
  <si>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</si>
  <si>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</si>
  <si>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</si>
  <si>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</si>
  <si>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</si>
  <si>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</si>
  <si>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</si>
  <si>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</si>
  <si>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</si>
  <si>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</si>
  <si>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</si>
  <si>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</si>
  <si>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</si>
  <si>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</si>
  <si>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</si>
  <si>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</si>
  <si>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</si>
  <si>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</si>
  <si>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</si>
  <si>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</si>
  <si>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</si>
  <si>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</si>
  <si>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</si>
  <si>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</si>
  <si>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</si>
  <si>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</si>
  <si>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</si>
  <si>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</si>
  <si>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</si>
  <si>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</si>
  <si>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</si>
  <si>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</si>
  <si>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</si>
  <si>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</si>
  <si>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</si>
  <si>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</si>
  <si>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</si>
  <si>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</si>
  <si>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</si>
  <si>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</si>
  <si>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</si>
  <si>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</si>
  <si>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</si>
  <si>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</si>
  <si>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</si>
  <si>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</si>
  <si>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</si>
  <si>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</si>
  <si>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</si>
  <si>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</si>
  <si>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</si>
  <si>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</si>
  <si>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</si>
  <si>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</si>
  <si>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</si>
  <si>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</si>
  <si>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</si>
  <si>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</si>
  <si>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</si>
  <si>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</si>
  <si>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</si>
  <si>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</si>
  <si>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</si>
  <si>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</si>
  <si>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</si>
  <si>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</si>
  <si>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</si>
  <si>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</si>
  <si>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</si>
  <si>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</si>
  <si>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</si>
  <si>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</si>
  <si>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</si>
  <si>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</si>
  <si>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</si>
  <si>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</si>
  <si>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</si>
  <si>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</si>
  <si>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</si>
  <si>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</si>
  <si>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</si>
  <si>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</si>
  <si>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</si>
  <si>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</si>
  <si>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</si>
  <si>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</si>
  <si>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</si>
  <si>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</si>
  <si>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</si>
  <si>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</si>
  <si>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</si>
  <si>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</si>
  <si>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</si>
  <si>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</si>
  <si>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</si>
  <si>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</si>
  <si>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</si>
  <si>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</si>
  <si>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</si>
  <si>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</si>
  <si>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</si>
  <si>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</si>
  <si>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</si>
  <si>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</si>
  <si>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</si>
  <si>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</si>
  <si>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</si>
  <si>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</si>
  <si>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</si>
  <si>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</si>
  <si>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</si>
  <si>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</si>
  <si>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</si>
  <si>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</si>
  <si>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</si>
  <si>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</si>
  <si>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</si>
  <si>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</si>
  <si>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</si>
  <si>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</si>
  <si>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</si>
  <si>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</si>
  <si>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</si>
  <si>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</si>
  <si>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</si>
  <si>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</si>
  <si>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</si>
  <si>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</si>
  <si>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</si>
  <si>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</si>
  <si>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</si>
  <si>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</si>
  <si>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</si>
  <si>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</si>
  <si>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</si>
  <si>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</si>
  <si>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</si>
  <si>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</si>
  <si>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</si>
  <si>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</si>
  <si>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</si>
  <si>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</si>
  <si>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</si>
  <si>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</si>
  <si>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</si>
  <si>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</si>
  <si>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</si>
  <si>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</si>
  <si>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</si>
  <si>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</si>
  <si>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</si>
  <si>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</si>
  <si>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</si>
  <si>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</si>
  <si>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</si>
  <si>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</si>
  <si>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</si>
  <si>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</si>
  <si>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</si>
  <si>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</si>
  <si>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</si>
  <si>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</si>
  <si>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</si>
  <si>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</si>
  <si>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</si>
  <si>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</si>
  <si>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</si>
  <si>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</si>
  <si>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</si>
  <si>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</si>
  <si>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</si>
  <si>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</si>
  <si>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</si>
  <si>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</si>
  <si>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</si>
  <si>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</si>
  <si>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</si>
  <si>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</si>
  <si>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</si>
  <si>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</si>
  <si>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</si>
  <si>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</si>
  <si>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</si>
  <si>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</si>
  <si>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</si>
  <si>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</si>
  <si>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</si>
  <si>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</si>
  <si>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</si>
  <si>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</si>
  <si>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</si>
  <si>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</si>
  <si>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</si>
  <si>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</si>
  <si>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</si>
  <si>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</si>
  <si>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</si>
  <si>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</si>
  <si>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</si>
  <si>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</si>
  <si>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</si>
  <si>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</si>
  <si>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</si>
  <si>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</si>
  <si>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</si>
  <si>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</si>
  <si>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</si>
  <si>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</si>
  <si>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</si>
  <si>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</si>
  <si>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</si>
  <si>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</si>
  <si>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</si>
  <si>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</si>
  <si>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</si>
  <si>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</si>
  <si>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</si>
  <si>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</si>
  <si>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</si>
  <si>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</si>
  <si>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</si>
  <si>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</si>
  <si>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</si>
  <si>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</si>
  <si>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</si>
  <si>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</si>
  <si>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</si>
  <si>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</si>
  <si>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</si>
  <si>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</si>
  <si>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</si>
  <si>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</si>
  <si>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</si>
  <si>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</si>
  <si>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</si>
  <si>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</si>
  <si>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</si>
  <si>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</si>
  <si>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</si>
  <si>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</si>
  <si>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</si>
  <si>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</si>
  <si>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</si>
  <si>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</si>
  <si>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</si>
  <si>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</si>
  <si>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</si>
  <si>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</si>
  <si>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</si>
  <si>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</si>
  <si>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</si>
  <si>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</si>
  <si>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</si>
  <si>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</si>
  <si>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</si>
  <si>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</si>
  <si>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</si>
  <si>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</si>
  <si>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</si>
  <si>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</si>
  <si>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</si>
  <si>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</si>
  <si>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</si>
  <si>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</si>
  <si>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</si>
  <si>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</si>
  <si>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</si>
  <si>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</si>
  <si>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</si>
  <si>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</si>
  <si>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</si>
  <si>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</si>
  <si>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</si>
  <si>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</si>
  <si>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</si>
  <si>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</si>
  <si>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</si>
  <si>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</si>
  <si>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</si>
  <si>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</si>
  <si>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</si>
  <si>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</si>
  <si>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</si>
  <si>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</si>
  <si>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</si>
  <si>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</si>
  <si>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</si>
  <si>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</si>
  <si>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</si>
  <si>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</si>
  <si>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</si>
  <si>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</si>
  <si>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</si>
  <si>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</si>
  <si>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</si>
  <si>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</si>
  <si>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</si>
  <si>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</si>
  <si>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</si>
  <si>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</si>
  <si>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</si>
  <si>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</si>
  <si>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</si>
  <si>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</si>
  <si>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</si>
  <si>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</si>
  <si>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</si>
  <si>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</si>
  <si>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</si>
  <si>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</si>
  <si>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</si>
  <si>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</si>
  <si>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</si>
  <si>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</si>
  <si>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</si>
  <si>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</si>
  <si>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</si>
  <si>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</si>
  <si>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</si>
  <si>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</si>
  <si>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</si>
  <si>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</si>
  <si>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</si>
  <si>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</si>
  <si>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</si>
  <si>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</si>
  <si>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</si>
  <si>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</si>
  <si>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</si>
  <si>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</si>
  <si>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</si>
  <si>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</si>
  <si>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</si>
  <si>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</si>
  <si>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</si>
  <si>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</si>
  <si>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</si>
  <si>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</si>
  <si>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</si>
  <si>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</si>
  <si>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</si>
  <si>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</si>
  <si>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</si>
  <si>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</si>
  <si>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</si>
  <si>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</si>
  <si>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</si>
  <si>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</si>
  <si>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</si>
  <si>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</si>
  <si>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</si>
  <si>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</si>
  <si>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</si>
  <si>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</si>
  <si>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</si>
  <si>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</si>
  <si>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</si>
  <si>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</si>
  <si>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</si>
  <si>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</si>
  <si>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</si>
  <si>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</si>
  <si>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</si>
  <si>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</si>
  <si>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</si>
  <si>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</si>
  <si>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</si>
  <si>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</si>
  <si>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</si>
  <si>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</si>
  <si>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</si>
  <si>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</si>
  <si>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</si>
  <si>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</si>
  <si>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</si>
  <si>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</si>
  <si>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</si>
  <si>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</si>
  <si>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</si>
  <si>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</si>
  <si>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</si>
  <si>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</si>
  <si>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</si>
  <si>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</si>
  <si>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</si>
  <si>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</si>
  <si>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</si>
  <si>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</si>
  <si>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</si>
  <si>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</si>
  <si>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</si>
  <si>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</si>
  <si>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</si>
  <si>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</si>
  <si>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</si>
  <si>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</si>
  <si>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</si>
  <si>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</si>
  <si>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</si>
  <si>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</si>
  <si>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</si>
  <si>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</si>
  <si>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</si>
  <si>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</si>
  <si>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</si>
  <si>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</si>
  <si>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</si>
  <si>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</si>
  <si>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</si>
  <si>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</si>
  <si>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</si>
  <si>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</si>
  <si>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</si>
  <si>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</si>
  <si>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</si>
  <si>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</si>
  <si>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</si>
  <si>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</si>
  <si>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</si>
  <si>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</si>
  <si>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</si>
  <si>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</si>
  <si>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</si>
  <si>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</si>
  <si>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</si>
  <si>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</si>
  <si>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</si>
  <si>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</si>
  <si>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</si>
  <si>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</si>
  <si>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</si>
  <si>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</si>
  <si>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</si>
  <si>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</si>
  <si>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</si>
  <si>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</si>
  <si>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</si>
  <si>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</si>
  <si>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</si>
  <si>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</si>
  <si>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</si>
  <si>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</si>
  <si>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</si>
  <si>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</si>
  <si>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</si>
  <si>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</si>
  <si>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</si>
  <si>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</si>
  <si>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</si>
  <si>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</si>
  <si>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</si>
  <si>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</si>
  <si>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</si>
  <si>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</si>
  <si>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</si>
  <si>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</si>
  <si>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</si>
  <si>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</si>
  <si>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</si>
  <si>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</si>
  <si>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</si>
  <si>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</si>
  <si>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</si>
  <si>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</si>
  <si>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</si>
  <si>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</si>
  <si>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</si>
  <si>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</si>
  <si>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</si>
  <si>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</si>
  <si>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</si>
  <si>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</si>
  <si>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</si>
  <si>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</si>
  <si>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</si>
  <si>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</si>
  <si>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</si>
  <si>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</si>
  <si>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</si>
  <si>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</si>
  <si>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</si>
  <si>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</si>
  <si>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</si>
  <si>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</si>
  <si>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</si>
  <si>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</si>
  <si>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</si>
  <si>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</si>
  <si>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</si>
  <si>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</si>
  <si>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</si>
  <si>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</si>
  <si>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</si>
  <si>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</si>
  <si>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</si>
  <si>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</si>
  <si>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</si>
  <si>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</si>
  <si>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</si>
  <si>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</si>
  <si>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</si>
  <si>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</si>
  <si>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</si>
  <si>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</si>
  <si>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</si>
  <si>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</si>
  <si>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</si>
  <si>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</si>
  <si>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</si>
  <si>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</si>
  <si>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</si>
  <si>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</si>
  <si>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</si>
  <si>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</si>
  <si>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</si>
  <si>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</si>
  <si>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</si>
  <si>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</si>
  <si>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</si>
  <si>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</si>
  <si>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</si>
  <si>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</si>
  <si>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</si>
  <si>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</si>
  <si>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</si>
  <si>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</si>
  <si>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</si>
  <si>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</si>
  <si>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</si>
  <si>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</si>
  <si>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</si>
  <si>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</si>
  <si>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</si>
  <si>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</si>
  <si>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</si>
  <si>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</si>
  <si>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</si>
  <si>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</si>
  <si>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</si>
  <si>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</si>
  <si>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</si>
  <si>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</si>
  <si>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</si>
  <si>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</si>
  <si>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</si>
  <si>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</si>
  <si>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</si>
  <si>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</si>
  <si>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</si>
  <si>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</si>
  <si>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</si>
  <si>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</si>
  <si>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</si>
  <si>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</si>
  <si>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</si>
  <si>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</si>
  <si>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</si>
  <si>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</si>
  <si>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</si>
  <si>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</si>
  <si>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</si>
  <si>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</si>
  <si>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</si>
  <si>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</si>
  <si>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</si>
  <si>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</si>
  <si>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</si>
  <si>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</si>
  <si>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</si>
  <si>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</si>
  <si>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</si>
  <si>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</si>
  <si>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</si>
  <si>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</si>
  <si>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</si>
  <si>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</si>
  <si>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</si>
  <si>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</si>
  <si>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</si>
  <si>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</si>
  <si>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</si>
  <si>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</si>
  <si>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</si>
  <si>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</si>
  <si>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</si>
  <si>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</si>
  <si>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</si>
  <si>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</si>
  <si>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</si>
  <si>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</si>
  <si>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</si>
  <si>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</si>
  <si>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</si>
  <si>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</si>
  <si>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</si>
  <si>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</si>
  <si>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</si>
  <si>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</si>
  <si>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</si>
  <si>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</si>
  <si>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</si>
  <si>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</si>
  <si>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</si>
  <si>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</si>
  <si>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</si>
  <si>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</si>
  <si>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</si>
  <si>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</si>
  <si>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</si>
  <si>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</si>
  <si>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</si>
  <si>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</si>
  <si>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</si>
  <si>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</si>
  <si>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</si>
  <si>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</si>
  <si>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</si>
  <si>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</si>
  <si>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</si>
  <si>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</si>
  <si>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</si>
  <si>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</si>
  <si>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</si>
  <si>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</si>
  <si>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</si>
  <si>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</si>
  <si>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</si>
  <si>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</si>
  <si>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</si>
  <si>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</si>
  <si>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</si>
  <si>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</si>
  <si>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</si>
  <si>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</si>
  <si>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</si>
  <si>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</si>
  <si>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</si>
  <si>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</si>
  <si>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</si>
  <si>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</si>
  <si>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</si>
  <si>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</si>
  <si>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</si>
  <si>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</si>
  <si>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</si>
  <si>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</si>
  <si>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</si>
  <si>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</si>
  <si>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</si>
  <si>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</si>
  <si>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</si>
  <si>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</si>
  <si>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</si>
  <si>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</si>
  <si>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</si>
  <si>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</si>
  <si>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</si>
  <si>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</si>
  <si>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</si>
  <si>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</si>
  <si>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</si>
  <si>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</si>
  <si>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</si>
  <si>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</si>
  <si>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</si>
  <si>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</si>
  <si>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</si>
  <si>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</si>
  <si>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</si>
  <si>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</si>
  <si>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</si>
  <si>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</si>
  <si>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</si>
  <si>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</si>
  <si>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</si>
  <si>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</si>
  <si>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</si>
  <si>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</si>
  <si>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</si>
  <si>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</si>
  <si>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</si>
  <si>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</si>
  <si>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</si>
  <si>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</si>
  <si>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</si>
  <si>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</si>
  <si>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</si>
  <si>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</si>
  <si>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</si>
  <si>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</si>
  <si>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</si>
  <si>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</si>
  <si>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</si>
  <si>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</si>
  <si>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</si>
  <si>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</si>
  <si>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</si>
  <si>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</si>
  <si>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</si>
  <si>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</si>
  <si>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</si>
  <si>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</si>
  <si>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</si>
  <si>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</si>
  <si>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</si>
  <si>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</si>
  <si>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</si>
  <si>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</si>
  <si>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</si>
  <si>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</si>
  <si>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</si>
  <si>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</si>
  <si>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</si>
  <si>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</si>
  <si>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</si>
  <si>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</si>
  <si>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</si>
  <si>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</si>
  <si>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</si>
  <si>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</si>
  <si>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</si>
  <si>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</si>
  <si>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</si>
  <si>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</si>
  <si>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</si>
  <si>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</si>
  <si>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</si>
  <si>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</si>
  <si>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</si>
  <si>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</si>
  <si>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</si>
  <si>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</si>
  <si>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</si>
  <si>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</si>
  <si>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</si>
  <si>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</si>
  <si>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</si>
  <si>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</si>
  <si>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</si>
  <si>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</si>
  <si>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</si>
  <si>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</si>
  <si>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</si>
  <si>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</si>
  <si>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</si>
  <si>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</si>
  <si>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</si>
  <si>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</si>
  <si>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</si>
  <si>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</si>
  <si>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</si>
  <si>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</si>
  <si>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</si>
  <si>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</si>
  <si>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</si>
  <si>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</si>
  <si>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</si>
  <si>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</si>
  <si>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</si>
  <si>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</si>
  <si>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</si>
  <si>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</si>
  <si>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</si>
  <si>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</si>
  <si>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</si>
  <si>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</si>
  <si>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</si>
  <si>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</si>
  <si>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</si>
  <si>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</si>
  <si>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</si>
  <si>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</si>
  <si>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</si>
  <si>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</si>
  <si>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</si>
  <si>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</si>
  <si>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</si>
  <si>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</si>
  <si>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</si>
  <si>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</si>
  <si>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</si>
  <si>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</si>
  <si>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</si>
  <si>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</si>
  <si>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</si>
  <si>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</si>
  <si>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</si>
  <si>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</si>
  <si>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</si>
  <si>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</si>
  <si>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</si>
  <si>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</si>
  <si>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</si>
  <si>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</si>
  <si>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</si>
  <si>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</si>
  <si>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</si>
  <si>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</si>
  <si>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</si>
  <si>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</si>
  <si>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</si>
  <si>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</si>
  <si>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</si>
  <si>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</si>
  <si>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</si>
  <si>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</si>
  <si>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</si>
  <si>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</si>
  <si>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</si>
  <si>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</si>
  <si>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</si>
  <si>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</si>
  <si>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</si>
  <si>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</si>
  <si>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</si>
  <si>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</si>
  <si>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</si>
  <si>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</si>
  <si>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</si>
  <si>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</si>
  <si>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</si>
  <si>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</si>
  <si>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</si>
  <si>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</si>
  <si>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</si>
  <si>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</si>
  <si>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</si>
  <si>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</si>
  <si>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</si>
  <si>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</si>
  <si>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</si>
  <si>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</si>
  <si>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</si>
  <si>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</si>
  <si>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</si>
  <si>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</si>
  <si>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</si>
  <si>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</si>
  <si>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</si>
  <si>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</si>
  <si>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</si>
  <si>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</si>
  <si>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</si>
  <si>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</si>
  <si>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</si>
  <si>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</si>
  <si>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</si>
  <si>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</si>
  <si>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</si>
  <si>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</si>
  <si>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</si>
  <si>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</si>
  <si>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</si>
  <si>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</si>
  <si>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</si>
  <si>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</si>
  <si>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</si>
  <si>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</si>
  <si>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</si>
  <si>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</si>
  <si>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</si>
  <si>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</si>
  <si>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</si>
  <si>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</si>
  <si>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</si>
  <si>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</si>
  <si>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</si>
  <si>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</si>
  <si>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</si>
  <si>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</si>
  <si>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</si>
  <si>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</si>
  <si>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</si>
  <si>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</si>
  <si>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</si>
  <si>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</si>
  <si>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</si>
  <si>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</si>
  <si>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</si>
  <si>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</si>
  <si>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</si>
  <si>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</si>
  <si>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</si>
  <si>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</si>
  <si>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</si>
  <si>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</si>
  <si>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</si>
  <si>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</si>
  <si>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</si>
  <si>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</si>
  <si>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</si>
  <si>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</si>
  <si>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</si>
  <si>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</si>
  <si>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</si>
  <si>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</si>
  <si>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</si>
  <si>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</si>
  <si>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</si>
  <si>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</si>
  <si>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</si>
  <si>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</si>
  <si>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</si>
  <si>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</si>
  <si>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</si>
  <si>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</si>
  <si>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</si>
  <si>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</si>
  <si>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</si>
  <si>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</si>
  <si>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</si>
  <si>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</si>
  <si>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</si>
  <si>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</si>
  <si>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</si>
  <si>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</si>
  <si>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</si>
  <si>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</si>
  <si>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</si>
  <si>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</si>
  <si>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</si>
  <si>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</si>
  <si>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</si>
  <si>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</si>
  <si>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</si>
  <si>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</si>
  <si>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</si>
  <si>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</si>
  <si>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</si>
  <si>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</si>
  <si>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</si>
  <si>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</si>
  <si>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</si>
  <si>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</si>
  <si>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</si>
  <si>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</si>
  <si>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</si>
  <si>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</si>
  <si>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</si>
  <si>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</si>
  <si>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</si>
  <si>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</si>
  <si>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</si>
  <si>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</si>
  <si>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</si>
  <si>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</si>
  <si>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</si>
  <si>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</si>
  <si>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</si>
  <si>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</si>
  <si>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</si>
  <si>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</si>
  <si>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</si>
  <si>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</si>
  <si>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</si>
  <si>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</si>
  <si>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</si>
  <si>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</si>
  <si>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</si>
  <si>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</si>
  <si>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</si>
  <si>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</si>
  <si>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</si>
  <si>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</si>
  <si>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</si>
  <si>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</si>
  <si>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</si>
  <si>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</si>
  <si>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</si>
  <si>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</si>
  <si>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</si>
  <si>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</si>
  <si>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</si>
  <si>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</si>
  <si>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</si>
  <si>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</si>
  <si>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</si>
  <si>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</si>
  <si>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</si>
  <si>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</si>
  <si>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</si>
  <si>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</si>
  <si>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</si>
  <si>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</si>
  <si>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</si>
  <si>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</si>
  <si>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</si>
  <si>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</si>
  <si>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</si>
  <si>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</si>
  <si>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</si>
  <si>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</si>
  <si>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</si>
  <si>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</si>
  <si>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</si>
  <si>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</si>
  <si>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</si>
  <si>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</si>
  <si>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</si>
  <si>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</si>
  <si>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</si>
  <si>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</si>
  <si>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</si>
  <si>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</si>
  <si>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</si>
  <si>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</si>
  <si>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</si>
  <si>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</si>
  <si>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</si>
  <si>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</si>
  <si>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</si>
  <si>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</si>
  <si>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</si>
  <si>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</si>
  <si>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</si>
  <si>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</si>
  <si>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</si>
  <si>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</si>
  <si>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</si>
  <si>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</si>
  <si>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</si>
  <si>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</si>
  <si>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</si>
  <si>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</si>
  <si>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</si>
  <si>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</si>
  <si>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</si>
  <si>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</si>
  <si>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</si>
  <si>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</si>
  <si>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</si>
  <si>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</si>
  <si>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</si>
  <si>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</si>
  <si>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</si>
  <si>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</si>
  <si>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</si>
  <si>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</si>
  <si>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</si>
  <si>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</si>
  <si>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</si>
  <si>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</si>
  <si>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</si>
  <si>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</si>
  <si>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</si>
  <si>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</si>
  <si>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</si>
  <si>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</si>
  <si>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</si>
  <si>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</si>
  <si>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</si>
  <si>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</si>
  <si>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</si>
  <si>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</si>
  <si>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</si>
  <si>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</si>
  <si>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</si>
  <si>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</si>
  <si>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</si>
  <si>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</si>
  <si>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</si>
  <si>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</si>
  <si>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</si>
  <si>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</si>
  <si>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</si>
  <si>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</si>
  <si>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</si>
  <si>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</si>
  <si>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</si>
  <si>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</si>
  <si>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</si>
  <si>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</si>
  <si>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</si>
  <si>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</si>
  <si>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</si>
  <si>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</si>
  <si>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</si>
  <si>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</si>
  <si>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</si>
  <si>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</si>
  <si>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</si>
  <si>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</si>
  <si>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</si>
  <si>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</si>
  <si>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</si>
  <si>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</si>
  <si>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</si>
  <si>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</si>
  <si>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</si>
  <si>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</si>
  <si>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</si>
  <si>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</si>
  <si>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</si>
  <si>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</si>
  <si>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</si>
  <si>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</si>
  <si>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</si>
  <si>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</si>
  <si>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</si>
  <si>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</si>
  <si>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</si>
  <si>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</si>
  <si>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</si>
  <si>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</si>
  <si>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</si>
  <si>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</si>
  <si>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</si>
  <si>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</si>
  <si>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</si>
  <si>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</si>
  <si>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</si>
  <si>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</si>
  <si>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</si>
  <si>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</si>
  <si>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</si>
  <si>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</si>
  <si>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</si>
  <si>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</si>
  <si>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</si>
  <si>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</si>
  <si>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</si>
  <si>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</si>
  <si>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</si>
  <si>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</si>
  <si>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</si>
  <si>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</si>
  <si>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</si>
  <si>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</si>
  <si>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</si>
  <si>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</si>
  <si>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</si>
  <si>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</si>
  <si>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</si>
  <si>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</si>
  <si>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</si>
  <si>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</si>
  <si>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</si>
  <si>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</si>
  <si>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</si>
  <si>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</si>
  <si>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</si>
  <si>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</si>
  <si>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</si>
  <si>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</si>
  <si>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</si>
  <si>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</si>
  <si>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</si>
  <si>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</si>
  <si>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</si>
  <si>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</si>
  <si>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</si>
  <si>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</si>
  <si>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</si>
  <si>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</si>
  <si>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</si>
  <si>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</si>
  <si>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</si>
  <si>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</si>
  <si>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</si>
  <si>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</si>
  <si>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</si>
  <si>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</si>
  <si>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</si>
  <si>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</si>
  <si>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</si>
  <si>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</si>
  <si>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</si>
  <si>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</si>
  <si>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</si>
  <si>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</si>
  <si>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</si>
  <si>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</si>
  <si>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</si>
  <si>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</si>
  <si>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</si>
  <si>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</si>
  <si>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</si>
  <si>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</si>
  <si>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</si>
  <si>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</si>
  <si>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</si>
  <si>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</si>
  <si>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</si>
  <si>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</si>
  <si>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</si>
  <si>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</si>
  <si>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</si>
  <si>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</si>
  <si>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</si>
  <si>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</si>
  <si>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</si>
  <si>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</si>
  <si>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</si>
  <si>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</si>
  <si>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</si>
  <si>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</si>
  <si>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</si>
  <si>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</si>
  <si>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</si>
  <si>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</si>
  <si>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</si>
  <si>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</si>
  <si>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</si>
  <si>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</si>
  <si>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</si>
  <si>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</si>
  <si>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</si>
  <si>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</si>
  <si>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</si>
  <si>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</si>
  <si>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</si>
  <si>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</si>
  <si>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</si>
  <si>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</si>
  <si>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</si>
  <si>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</si>
  <si>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</si>
  <si>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</si>
  <si>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</si>
  <si>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</si>
  <si>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</si>
  <si>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</si>
  <si>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</si>
  <si>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</si>
  <si>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</si>
  <si>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</si>
  <si>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</si>
  <si>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</si>
  <si>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</si>
  <si>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</si>
  <si>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</si>
  <si>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</si>
  <si>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</si>
  <si>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</si>
  <si>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</si>
  <si>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</si>
  <si>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</si>
  <si>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</si>
  <si>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</si>
  <si>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</si>
  <si>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</si>
  <si>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</si>
  <si>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</si>
  <si>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</si>
  <si>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</si>
  <si>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</si>
  <si>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</si>
  <si>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</si>
  <si>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</si>
  <si>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</si>
  <si>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</si>
  <si>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</si>
  <si>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</si>
  <si>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</si>
  <si>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</si>
  <si>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</si>
  <si>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</si>
  <si>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</si>
  <si>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</si>
  <si>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</si>
  <si>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</si>
  <si>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</si>
  <si>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</si>
  <si>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</si>
  <si>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</si>
  <si>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</si>
  <si>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</si>
  <si>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</si>
  <si>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</si>
  <si>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</si>
  <si>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</si>
  <si>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</si>
  <si>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</si>
  <si>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</si>
  <si>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</si>
  <si>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</si>
  <si>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</si>
  <si>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</si>
  <si>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</si>
  <si>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</si>
  <si>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</si>
  <si>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</si>
  <si>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</si>
  <si>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</si>
  <si>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</si>
  <si>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</si>
  <si>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</si>
  <si>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</si>
  <si>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</si>
  <si>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</si>
  <si>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</si>
  <si>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</si>
  <si>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</si>
  <si>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</si>
  <si>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</si>
  <si>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</si>
  <si>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</si>
  <si>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</si>
  <si>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</si>
  <si>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</si>
  <si>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</si>
  <si>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</si>
  <si>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</si>
  <si>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</si>
  <si>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</si>
  <si>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</si>
  <si>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</si>
  <si>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</si>
  <si>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</si>
  <si>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</si>
  <si>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</si>
  <si>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</si>
  <si>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</si>
  <si>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</si>
  <si>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</si>
  <si>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</si>
  <si>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</si>
  <si>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</si>
  <si>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</si>
  <si>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</si>
  <si>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</si>
  <si>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</si>
  <si>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</si>
  <si>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</si>
  <si>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</si>
  <si>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</si>
  <si>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</si>
  <si>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</si>
  <si>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</si>
  <si>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</si>
  <si>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</si>
  <si>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</si>
  <si>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</si>
  <si>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</si>
  <si>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</si>
  <si>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</si>
  <si>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</si>
  <si>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</si>
  <si>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</si>
  <si>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</si>
  <si>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</si>
  <si>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</si>
  <si>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</si>
  <si>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</si>
  <si>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</si>
  <si>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</si>
  <si>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</si>
  <si>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</si>
  <si>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</si>
  <si>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</si>
  <si>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</si>
  <si>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</si>
  <si>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</si>
  <si>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</si>
  <si>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</si>
  <si>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</si>
  <si>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</si>
  <si>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</si>
  <si>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</si>
  <si>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</si>
  <si>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</si>
  <si>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</si>
  <si>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</si>
  <si>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</si>
  <si>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</si>
  <si>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</si>
  <si>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</si>
  <si>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</si>
  <si>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</si>
  <si>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</si>
  <si>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</si>
  <si>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</si>
  <si>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</si>
  <si>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</si>
  <si>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</si>
  <si>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</si>
  <si>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</si>
  <si>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</si>
  <si>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</si>
  <si>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</si>
  <si>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</si>
  <si>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</si>
  <si>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</si>
  <si>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</si>
  <si>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</si>
  <si>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</si>
  <si>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</si>
  <si>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</si>
  <si>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</si>
  <si>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</si>
  <si>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</si>
  <si>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</si>
  <si>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</si>
  <si>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</si>
  <si>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</si>
  <si>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</si>
  <si>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</si>
  <si>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</si>
  <si>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</si>
  <si>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</si>
  <si>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</si>
  <si>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</si>
  <si>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</si>
  <si>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</si>
  <si>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</si>
  <si>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</si>
  <si>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</si>
  <si>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</si>
  <si>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</si>
  <si>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</si>
  <si>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</si>
  <si>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</si>
  <si>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</si>
  <si>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</si>
  <si>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</si>
  <si>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</si>
  <si>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</si>
  <si>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</si>
  <si>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</si>
  <si>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</si>
  <si>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</si>
  <si>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</si>
  <si>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</si>
  <si>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</si>
  <si>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</si>
  <si>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</si>
  <si>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</si>
  <si>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</si>
  <si>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</si>
  <si>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</si>
  <si>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</si>
  <si>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</si>
  <si>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</si>
  <si>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</si>
  <si>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</si>
  <si>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</si>
  <si>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</si>
  <si>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</si>
  <si>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</si>
  <si>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</si>
  <si>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</si>
  <si>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</si>
  <si>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</si>
  <si>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</si>
  <si>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</si>
  <si>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</si>
  <si>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</si>
  <si>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</si>
  <si>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</si>
  <si>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</si>
  <si>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</si>
  <si>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</si>
  <si>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</si>
  <si>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</si>
  <si>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</si>
  <si>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</si>
  <si>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</si>
  <si>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</si>
  <si>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</si>
  <si>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</si>
  <si>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</si>
  <si>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</si>
  <si>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</si>
  <si>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</si>
  <si>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</si>
  <si>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</si>
  <si>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</si>
  <si>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</si>
  <si>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</si>
  <si>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</si>
  <si>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</si>
  <si>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</si>
  <si>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</si>
  <si>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</si>
  <si>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</si>
  <si>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</si>
  <si>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</si>
  <si>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</si>
  <si>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</si>
  <si>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</si>
  <si>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</si>
  <si>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</si>
  <si>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</si>
  <si>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</si>
  <si>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</si>
  <si>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</si>
  <si>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</si>
  <si>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</si>
  <si>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</si>
  <si>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</si>
  <si>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</si>
  <si>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</si>
  <si>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</si>
  <si>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</si>
  <si>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</si>
  <si>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</si>
  <si>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</si>
  <si>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</si>
  <si>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</si>
  <si>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</si>
  <si>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</si>
  <si>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</si>
  <si>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</si>
  <si>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</si>
  <si>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</si>
  <si>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</si>
  <si>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</si>
  <si>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</si>
  <si>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</si>
  <si>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</si>
  <si>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</si>
  <si>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</si>
  <si>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</si>
  <si>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</si>
  <si>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</si>
  <si>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</si>
  <si>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</si>
  <si>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</si>
  <si>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</si>
  <si>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</si>
  <si>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</si>
  <si>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</si>
  <si>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</si>
  <si>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</si>
  <si>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</si>
  <si>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</si>
  <si>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</si>
  <si>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</si>
  <si>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</si>
  <si>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</si>
  <si>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</si>
  <si>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</si>
  <si>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</si>
  <si>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</si>
  <si>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</si>
  <si>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</si>
  <si>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</si>
  <si>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</si>
  <si>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</si>
  <si>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</si>
  <si>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</si>
  <si>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</si>
  <si>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</si>
  <si>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</si>
  <si>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</si>
  <si>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</si>
  <si>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</si>
  <si>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</si>
  <si>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</si>
  <si>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</si>
  <si>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</si>
  <si>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</si>
  <si>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</si>
  <si>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</si>
  <si>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</si>
  <si>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</si>
  <si>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</si>
  <si>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</si>
  <si>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</si>
  <si>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</si>
  <si>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</si>
  <si>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</si>
  <si>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</si>
  <si>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</si>
  <si>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</si>
  <si>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</si>
  <si>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</si>
  <si>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</si>
  <si>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</si>
  <si>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</si>
  <si>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</si>
  <si>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</si>
  <si>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</si>
  <si>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</si>
  <si>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</si>
  <si>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</si>
  <si>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</si>
  <si>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</si>
  <si>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</si>
  <si>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</si>
  <si>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</si>
  <si>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</si>
  <si>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</si>
  <si>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</si>
  <si>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</si>
  <si>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</si>
  <si>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</si>
  <si>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</si>
  <si>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</si>
  <si>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</si>
  <si>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</si>
  <si>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</si>
  <si>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</si>
  <si>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</si>
  <si>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</si>
  <si>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</si>
  <si>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</si>
  <si>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</si>
  <si>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</si>
  <si>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</si>
  <si>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</si>
  <si>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</si>
  <si>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</si>
  <si>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</si>
  <si>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</si>
  <si>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</si>
  <si>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</si>
  <si>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</si>
  <si>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</si>
  <si>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</si>
  <si>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</si>
  <si>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</si>
  <si>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</si>
  <si>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</si>
  <si>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</si>
  <si>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</si>
  <si>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</si>
  <si>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</si>
  <si>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</si>
  <si>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</si>
  <si>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</si>
  <si>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</si>
  <si>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</si>
  <si>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</si>
  <si>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</si>
  <si>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</si>
  <si>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</si>
  <si>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</si>
  <si>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</si>
  <si>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</si>
  <si>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</si>
  <si>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</si>
  <si>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</si>
  <si>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</si>
  <si>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</si>
  <si>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</si>
  <si>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</si>
  <si>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</si>
  <si>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</si>
  <si>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</si>
  <si>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</si>
  <si>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</si>
  <si>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</si>
  <si>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</si>
  <si>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</si>
  <si>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</si>
  <si>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</si>
  <si>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</si>
  <si>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</si>
  <si>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</si>
  <si>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</si>
  <si>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</si>
  <si>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</si>
  <si>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</si>
  <si>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</si>
  <si>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</si>
  <si>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</si>
  <si>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</si>
  <si>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</si>
  <si>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</si>
  <si>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</si>
  <si>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</si>
  <si>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</si>
  <si>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</si>
  <si>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</si>
  <si>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</si>
  <si>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</si>
  <si>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</si>
  <si>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</si>
  <si>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</si>
  <si>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</si>
  <si>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</si>
  <si>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</si>
  <si>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</si>
  <si>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</si>
  <si>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</si>
  <si>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</si>
  <si>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</si>
  <si>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</si>
  <si>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</si>
  <si>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</si>
  <si>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</si>
  <si>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</si>
  <si>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</si>
  <si>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</si>
  <si>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</si>
  <si>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</si>
  <si>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</si>
  <si>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</si>
  <si>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</si>
  <si>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</si>
  <si>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</si>
  <si>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</si>
  <si>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</si>
  <si>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</si>
  <si>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</si>
  <si>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</si>
  <si>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</si>
  <si>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</si>
  <si>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</si>
  <si>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</si>
  <si>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</si>
  <si>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</si>
  <si>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</si>
  <si>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</si>
  <si>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</si>
  <si>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</si>
  <si>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</si>
  <si>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</si>
  <si>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</si>
  <si>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</si>
  <si>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</si>
  <si>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</si>
  <si>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</si>
  <si>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</si>
  <si>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</si>
  <si>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</si>
  <si>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</si>
  <si>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</si>
  <si>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</si>
  <si>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</si>
  <si>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</si>
  <si>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</si>
  <si>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</si>
  <si>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</si>
  <si>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</si>
  <si>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</si>
  <si>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</si>
  <si>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</si>
  <si>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</si>
  <si>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</si>
  <si>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</si>
  <si>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</si>
  <si>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</si>
  <si>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</si>
  <si>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</si>
  <si>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</si>
  <si>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</si>
  <si>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</si>
  <si>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</si>
  <si>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</si>
  <si>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</si>
  <si>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</si>
  <si>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</si>
  <si>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</si>
  <si>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</si>
  <si>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</si>
  <si>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</si>
  <si>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</si>
  <si>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</si>
  <si>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</si>
  <si>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</si>
  <si>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</si>
  <si>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</si>
  <si>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</si>
  <si>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</si>
  <si>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</si>
  <si>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</si>
  <si>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</si>
  <si>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</si>
  <si>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</si>
  <si>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</si>
  <si>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</si>
  <si>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</si>
  <si>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</si>
  <si>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</si>
  <si>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</si>
  <si>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</si>
  <si>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</si>
  <si>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</si>
  <si>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</si>
  <si>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</si>
  <si>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</si>
  <si>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</si>
  <si>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</si>
  <si>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</si>
  <si>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</si>
  <si>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</si>
  <si>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</si>
  <si>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</si>
  <si>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</si>
  <si>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</si>
  <si>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</si>
  <si>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</si>
  <si>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</si>
  <si>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</si>
  <si>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</si>
  <si>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</si>
  <si>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</si>
  <si>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</si>
  <si>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</si>
  <si>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</si>
  <si>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</si>
  <si>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</si>
  <si>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</si>
  <si>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</si>
  <si>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</si>
  <si>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</si>
  <si>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</si>
  <si>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</si>
  <si>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</si>
  <si>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</si>
  <si>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</si>
  <si>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</si>
  <si>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</si>
  <si>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</si>
  <si>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</si>
  <si>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</si>
  <si>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</si>
  <si>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</si>
  <si>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</si>
  <si>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</si>
  <si>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</si>
  <si>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</si>
  <si>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</si>
  <si>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</si>
  <si>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</si>
  <si>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</si>
  <si>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</si>
  <si>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</si>
  <si>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</si>
  <si>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</si>
  <si>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</si>
  <si>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</si>
  <si>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</si>
  <si>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</si>
  <si>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</si>
  <si>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</si>
  <si>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</si>
  <si>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</si>
  <si>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</si>
  <si>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</si>
  <si>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</si>
  <si>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</si>
  <si>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</si>
  <si>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</si>
  <si>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</si>
  <si>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</si>
  <si>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</si>
  <si>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</si>
  <si>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</si>
  <si>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</si>
  <si>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</si>
  <si>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</si>
  <si>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</si>
  <si>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</si>
  <si>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</si>
  <si>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</si>
  <si>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</si>
  <si>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</si>
  <si>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</si>
  <si>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</si>
  <si>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</si>
  <si>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</si>
  <si>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</si>
  <si>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</si>
  <si>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</si>
  <si>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</si>
  <si>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</si>
  <si>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</si>
  <si>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</si>
  <si>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</si>
  <si>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</si>
  <si>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</si>
  <si>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</si>
  <si>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</si>
  <si>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</si>
  <si>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</si>
  <si>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</si>
  <si>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</si>
  <si>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</si>
  <si>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</si>
  <si>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</si>
  <si>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</si>
  <si>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</si>
  <si>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</si>
  <si>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</si>
  <si>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</si>
  <si>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</si>
  <si>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</si>
  <si>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</si>
  <si>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</si>
  <si>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</si>
  <si>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</si>
  <si>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</si>
  <si>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</si>
  <si>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</si>
  <si>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</si>
  <si>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</si>
  <si>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</si>
  <si>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</si>
  <si>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</si>
  <si>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</si>
  <si>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</si>
  <si>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</si>
  <si>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</si>
  <si>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</si>
  <si>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</si>
  <si>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</si>
  <si>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</si>
  <si>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</si>
  <si>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</si>
  <si>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</si>
  <si>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</si>
  <si>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</si>
  <si>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</si>
  <si>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</si>
  <si>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</si>
  <si>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</si>
  <si>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</si>
  <si>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</si>
  <si>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</si>
  <si>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</si>
  <si>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</si>
  <si>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</si>
  <si>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</si>
  <si>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</si>
  <si>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</si>
  <si>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</si>
  <si>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</si>
  <si>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</si>
  <si>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</si>
  <si>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</si>
  <si>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</si>
  <si>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</si>
  <si>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</si>
  <si>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</si>
  <si>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</si>
  <si>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</si>
  <si>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</si>
  <si>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</si>
  <si>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</si>
  <si>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</si>
  <si>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</si>
  <si>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</si>
  <si>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</si>
  <si>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</si>
  <si>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</si>
  <si>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</si>
  <si>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</si>
  <si>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</si>
  <si>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</si>
  <si>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</si>
  <si>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</si>
  <si>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</si>
  <si>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</si>
  <si>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</si>
  <si>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</si>
  <si>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</si>
  <si>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</si>
  <si>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</si>
  <si>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</si>
  <si>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</si>
  <si>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</si>
  <si>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</si>
  <si>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</si>
  <si>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</si>
  <si>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</si>
  <si>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</si>
  <si>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</si>
  <si>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</si>
  <si>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</si>
  <si>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</si>
  <si>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</si>
  <si>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</si>
  <si>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</si>
  <si>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</si>
  <si>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</si>
  <si>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</si>
  <si>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</si>
  <si>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</si>
  <si>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</si>
  <si>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</si>
  <si>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</si>
  <si>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</si>
  <si>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</si>
  <si>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</si>
  <si>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</si>
  <si>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</si>
  <si>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</si>
  <si>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</si>
  <si>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</si>
  <si>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</si>
  <si>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</si>
  <si>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</si>
  <si>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</si>
  <si>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</si>
  <si>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</si>
  <si>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</si>
  <si>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</si>
  <si>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</si>
  <si>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</si>
  <si>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</si>
  <si>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</si>
  <si>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</si>
  <si>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</si>
  <si>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</si>
  <si>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</si>
  <si>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</si>
  <si>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</si>
  <si>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</si>
  <si>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</si>
  <si>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</si>
  <si>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</si>
  <si>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</si>
  <si>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</si>
  <si>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</si>
  <si>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</si>
  <si>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</si>
  <si>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</si>
  <si>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</si>
  <si>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</si>
  <si>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</si>
  <si>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</si>
  <si>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</si>
  <si>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</si>
  <si>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</si>
  <si>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</si>
  <si>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</si>
  <si>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</si>
  <si>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</si>
  <si>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</si>
  <si>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</si>
  <si>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</si>
  <si>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</si>
  <si>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</si>
  <si>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</si>
  <si>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</si>
  <si>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</si>
  <si>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</si>
  <si>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</si>
  <si>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</si>
  <si>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</si>
  <si>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</si>
  <si>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</si>
  <si>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</si>
  <si>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</si>
  <si>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</si>
  <si>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</si>
  <si>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</si>
  <si>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</si>
  <si>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</si>
  <si>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</si>
  <si>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</si>
  <si>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</si>
  <si>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</si>
  <si>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</si>
  <si>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</si>
  <si>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</si>
  <si>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</si>
  <si>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</si>
  <si>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</si>
  <si>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</si>
  <si>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</si>
  <si>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</si>
  <si>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</si>
  <si>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</si>
  <si>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</si>
  <si>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</si>
  <si>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</si>
  <si>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</si>
  <si>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</si>
  <si>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</si>
  <si>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</si>
  <si>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</si>
  <si>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</si>
  <si>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</si>
  <si>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</si>
  <si>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</si>
  <si>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</si>
  <si>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</si>
  <si>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</si>
  <si>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</si>
  <si>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</si>
  <si>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</si>
  <si>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</si>
  <si>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</si>
  <si>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</si>
  <si>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</si>
  <si>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</si>
  <si>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</si>
  <si>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</si>
  <si>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</si>
  <si>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</si>
  <si>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</si>
  <si>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</si>
  <si>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</si>
  <si>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</si>
  <si>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</si>
  <si>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</si>
  <si>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</si>
  <si>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</si>
  <si>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</si>
  <si>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</si>
  <si>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</si>
  <si>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</si>
  <si>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</si>
  <si>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</si>
  <si>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</si>
  <si>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</si>
  <si>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</si>
  <si>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</si>
  <si>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</si>
  <si>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</si>
  <si>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</si>
  <si>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</si>
  <si>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</si>
  <si>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</si>
  <si>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</si>
  <si>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</si>
  <si>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</si>
  <si>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</si>
  <si>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</si>
  <si>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</si>
  <si>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</si>
  <si>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</si>
  <si>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</si>
  <si>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</si>
  <si>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</si>
  <si>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</si>
  <si>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</si>
  <si>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</si>
  <si>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</si>
  <si>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</si>
  <si>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</si>
  <si>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</si>
  <si>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</si>
  <si>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</si>
  <si>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</si>
  <si>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</si>
  <si>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</si>
  <si>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</si>
  <si>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</si>
  <si>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</si>
  <si>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</si>
  <si>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</si>
  <si>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</si>
  <si>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</si>
  <si>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</si>
  <si>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</si>
  <si>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</si>
  <si>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</si>
  <si>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</si>
  <si>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</si>
  <si>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</si>
  <si>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</si>
  <si>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</si>
  <si>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</si>
  <si>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</si>
  <si>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</si>
  <si>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</si>
  <si>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</si>
  <si>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</si>
  <si>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</si>
  <si>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</si>
  <si>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</si>
  <si>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</si>
  <si>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</si>
  <si>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</si>
  <si>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</si>
  <si>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</si>
  <si>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</si>
  <si>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</si>
  <si>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</si>
  <si>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</si>
  <si>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</si>
  <si>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</si>
  <si>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</si>
  <si>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</si>
  <si>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</si>
  <si>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</si>
  <si>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</si>
  <si>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</si>
  <si>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</si>
  <si>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</si>
  <si>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</si>
  <si>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</si>
  <si>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</si>
  <si>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</si>
  <si>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</si>
  <si>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</si>
  <si>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</si>
  <si>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</si>
  <si>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</si>
  <si>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</si>
  <si>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</si>
  <si>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</si>
  <si>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</si>
  <si>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</si>
  <si>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</si>
  <si>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</si>
  <si>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</si>
  <si>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</si>
  <si>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</si>
  <si>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</si>
  <si>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</si>
  <si>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</si>
  <si>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</si>
  <si>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</si>
  <si>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</si>
  <si>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</si>
  <si>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</si>
  <si>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</si>
  <si>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</si>
  <si>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</si>
  <si>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</si>
  <si>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</si>
  <si>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</si>
  <si>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</si>
  <si>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</si>
  <si>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</si>
  <si>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</si>
  <si>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</si>
  <si>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</si>
  <si>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</si>
  <si>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</si>
  <si>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</si>
  <si>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</si>
  <si>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</si>
  <si>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</si>
  <si>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</si>
  <si>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</si>
  <si>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</si>
  <si>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</si>
  <si>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</si>
  <si>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</si>
  <si>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</si>
  <si>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</si>
  <si>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</si>
  <si>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</si>
  <si>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</si>
  <si>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</si>
  <si>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</si>
  <si>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</si>
  <si>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</si>
  <si>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</si>
  <si>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</si>
  <si>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</si>
  <si>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</si>
  <si>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</si>
  <si>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</si>
  <si>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</si>
  <si>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</si>
  <si>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</si>
  <si>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</si>
  <si>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</si>
  <si>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</si>
  <si>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</si>
  <si>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</si>
  <si>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</si>
  <si>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</si>
  <si>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</si>
  <si>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</si>
  <si>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</si>
  <si>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</si>
  <si>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</si>
  <si>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</si>
  <si>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</si>
  <si>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</si>
  <si>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</si>
  <si>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</si>
  <si>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</si>
  <si>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</si>
  <si>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</si>
  <si>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</si>
  <si>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</si>
  <si>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</si>
  <si>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</si>
  <si>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</si>
  <si>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</si>
  <si>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</si>
  <si>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</si>
  <si>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</si>
  <si>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</si>
  <si>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</si>
  <si>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</si>
  <si>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</si>
  <si>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</si>
  <si>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</si>
  <si>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</si>
  <si>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</si>
  <si>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</si>
  <si>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</si>
  <si>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</si>
  <si>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</si>
  <si>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</si>
  <si>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</si>
  <si>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</si>
  <si>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</si>
  <si>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</si>
  <si>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</si>
  <si>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</si>
  <si>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</si>
  <si>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</si>
  <si>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</si>
  <si>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</si>
  <si>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</si>
  <si>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</si>
  <si>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</si>
  <si>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</si>
  <si>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</si>
  <si>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</si>
  <si>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</si>
  <si>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</si>
  <si>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</si>
  <si>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</si>
  <si>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</si>
  <si>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</si>
  <si>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</si>
  <si>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</si>
  <si>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</si>
  <si>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</si>
  <si>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</si>
  <si>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</si>
  <si>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</si>
  <si>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</si>
  <si>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</si>
  <si>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</si>
  <si>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</si>
  <si>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</si>
  <si>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</si>
  <si>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</si>
  <si>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</si>
  <si>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</si>
  <si>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</si>
  <si>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</si>
  <si>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</si>
  <si>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</si>
  <si>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</si>
  <si>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</si>
  <si>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</si>
  <si>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</si>
  <si>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</si>
  <si>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</si>
  <si>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</si>
  <si>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</si>
  <si>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</si>
  <si>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</si>
  <si>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</si>
  <si>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</si>
  <si>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</si>
  <si>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</si>
  <si>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</si>
  <si>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</si>
  <si>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</si>
  <si>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</si>
  <si>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</si>
  <si>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</si>
  <si>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</si>
  <si>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</si>
  <si>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</si>
  <si>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</si>
  <si>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</si>
  <si>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</si>
  <si>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</si>
  <si>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</si>
  <si>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</si>
  <si>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</si>
  <si>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</si>
  <si>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</si>
  <si>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</si>
  <si>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</si>
  <si>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</si>
  <si>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</si>
  <si>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</si>
  <si>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</si>
  <si>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</si>
  <si>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</si>
  <si>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</si>
  <si>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</si>
  <si>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</si>
  <si>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</si>
  <si>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</si>
  <si>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</si>
  <si>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</si>
  <si>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</si>
  <si>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</si>
  <si>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</si>
  <si>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</si>
  <si>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</si>
  <si>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</si>
  <si>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</si>
  <si>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</si>
  <si>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</si>
  <si>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</si>
  <si>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</si>
  <si>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</si>
  <si>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</si>
  <si>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</si>
  <si>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</si>
  <si>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</si>
  <si>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</si>
  <si>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</si>
  <si>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</si>
  <si>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</si>
  <si>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</si>
  <si>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</si>
  <si>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</si>
  <si>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</si>
  <si>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</si>
  <si>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</si>
  <si>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</si>
  <si>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</si>
  <si>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</si>
  <si>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</si>
  <si>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</si>
  <si>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</si>
  <si>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</si>
  <si>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</si>
  <si>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</si>
  <si>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</si>
  <si>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</si>
  <si>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</si>
  <si>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</si>
  <si>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</si>
  <si>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</si>
  <si>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</si>
  <si>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</si>
  <si>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</si>
  <si>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</si>
  <si>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</si>
  <si>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</si>
  <si>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</si>
  <si>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</si>
  <si>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</si>
  <si>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</si>
  <si>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</si>
  <si>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</si>
  <si>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</si>
  <si>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</si>
  <si>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</si>
  <si>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</si>
  <si>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</si>
  <si>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</si>
  <si>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</si>
  <si>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</si>
  <si>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</si>
  <si>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</si>
  <si>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</si>
  <si>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</si>
  <si>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</si>
  <si>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</si>
  <si>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</si>
  <si>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</si>
  <si>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</si>
  <si>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</si>
  <si>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</si>
  <si>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</si>
  <si>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</si>
  <si>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</si>
  <si>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</si>
  <si>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</si>
  <si>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</si>
  <si>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</si>
  <si>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</si>
  <si>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</si>
  <si>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</si>
  <si>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</si>
  <si>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</si>
  <si>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</si>
  <si>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</si>
  <si>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</si>
  <si>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</si>
  <si>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</si>
  <si>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</si>
  <si>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</si>
  <si>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</si>
  <si>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</si>
  <si>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</si>
  <si>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</si>
  <si>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</si>
  <si>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</si>
  <si>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</si>
  <si>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</si>
  <si>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</si>
  <si>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</si>
  <si>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</si>
  <si>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</si>
  <si>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</si>
  <si>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</si>
  <si>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</si>
  <si>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</si>
  <si>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</si>
  <si>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</si>
  <si>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</si>
  <si>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</si>
  <si>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</si>
  <si>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</si>
  <si>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</si>
  <si>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</si>
  <si>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</si>
  <si>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</si>
  <si>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</si>
  <si>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</si>
  <si>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</si>
  <si>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</si>
  <si>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</si>
  <si>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</si>
  <si>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</si>
  <si>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</si>
  <si>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</si>
  <si>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</si>
  <si>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</si>
  <si>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</si>
  <si>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</si>
  <si>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</si>
  <si>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</si>
  <si>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</si>
  <si>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</si>
  <si>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</si>
  <si>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</si>
  <si>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</si>
  <si>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</si>
  <si>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</si>
  <si>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</si>
  <si>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</si>
  <si>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</si>
  <si>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</si>
  <si>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</si>
  <si>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</si>
  <si>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</si>
  <si>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</si>
  <si>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</si>
  <si>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</si>
  <si>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</si>
  <si>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</si>
  <si>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</si>
  <si>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</si>
  <si>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</si>
  <si>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</si>
  <si>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</si>
  <si>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</si>
  <si>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</si>
  <si>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</si>
  <si>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</si>
  <si>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</si>
  <si>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</si>
  <si>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</si>
  <si>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</si>
  <si>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</si>
  <si>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</si>
  <si>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</si>
  <si>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</si>
  <si>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</si>
  <si>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</si>
  <si>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</si>
  <si>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</si>
  <si>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</si>
  <si>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</si>
  <si>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</si>
  <si>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</si>
  <si>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</si>
  <si>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</si>
  <si>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</si>
  <si>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</si>
  <si>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</si>
  <si>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</si>
  <si>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</si>
  <si>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</si>
  <si>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</si>
  <si>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</si>
  <si>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</si>
  <si>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</si>
  <si>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</si>
  <si>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</si>
  <si>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</si>
  <si>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</si>
  <si>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</si>
  <si>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</si>
  <si>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</si>
  <si>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</si>
  <si>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</si>
  <si>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</si>
  <si>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</si>
  <si>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</si>
  <si>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</si>
  <si>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</si>
  <si>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</si>
  <si>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</si>
  <si>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</si>
  <si>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</si>
  <si>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</si>
  <si>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</si>
  <si>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</si>
  <si>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</si>
  <si>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</si>
  <si>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</si>
  <si>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</si>
  <si>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</si>
  <si>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</si>
  <si>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</si>
  <si>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</si>
  <si>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</si>
  <si>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</si>
  <si>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</si>
  <si>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</si>
  <si>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</si>
  <si>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</si>
  <si>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</si>
  <si>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</si>
  <si>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</si>
  <si>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</si>
  <si>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</si>
  <si>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</si>
  <si>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</si>
  <si>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</si>
  <si>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</si>
  <si>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</si>
  <si>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</si>
  <si>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</si>
  <si>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</si>
  <si>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</si>
  <si>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</si>
  <si>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</si>
  <si>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</si>
  <si>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</si>
  <si>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</si>
  <si>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</si>
  <si>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</si>
  <si>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</si>
  <si>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</si>
  <si>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</si>
  <si>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</si>
  <si>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</si>
  <si>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</si>
  <si>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</si>
  <si>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</si>
  <si>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</si>
  <si>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</si>
  <si>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</si>
  <si>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</si>
  <si>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</si>
  <si>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</si>
  <si>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</si>
  <si>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</si>
  <si>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</si>
  <si>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</si>
  <si>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</si>
  <si>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</si>
  <si>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</si>
  <si>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</si>
  <si>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</si>
  <si>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</si>
  <si>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</si>
  <si>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</si>
  <si>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</si>
  <si>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</si>
  <si>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</si>
  <si>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</si>
  <si>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</si>
  <si>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</si>
  <si>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</si>
  <si>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</si>
  <si>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</si>
  <si>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</si>
  <si>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</si>
  <si>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</si>
  <si>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</si>
  <si>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</si>
  <si>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</si>
  <si>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</si>
  <si>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</si>
  <si>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</si>
  <si>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</si>
  <si>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</si>
  <si>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</si>
  <si>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</si>
  <si>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</si>
  <si>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</si>
  <si>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</si>
  <si>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</si>
  <si>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</si>
  <si>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</si>
  <si>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</si>
  <si>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</si>
  <si>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</si>
  <si>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</si>
  <si>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</si>
  <si>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</si>
  <si>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</si>
  <si>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</si>
  <si>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</si>
  <si>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</si>
  <si>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</si>
  <si>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</si>
  <si>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</si>
  <si>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</si>
  <si>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</si>
  <si>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</si>
  <si>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</si>
  <si>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</si>
  <si>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</si>
  <si>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</si>
  <si>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</si>
  <si>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</si>
  <si>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</si>
  <si>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</si>
  <si>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</si>
  <si>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</si>
  <si>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</si>
  <si>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</si>
  <si>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</si>
  <si>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</si>
  <si>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</si>
  <si>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</si>
  <si>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</si>
  <si>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</si>
  <si>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</si>
  <si>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</si>
  <si>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</si>
  <si>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</si>
  <si>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</si>
  <si>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</si>
  <si>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</si>
  <si>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</si>
  <si>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</si>
  <si>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</si>
  <si>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</si>
  <si>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</si>
  <si>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</si>
  <si>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</si>
  <si>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</si>
  <si>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</si>
  <si>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</si>
  <si>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</si>
  <si>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</si>
  <si>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</si>
  <si>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</si>
  <si>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</si>
  <si>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</si>
  <si>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</si>
  <si>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</si>
  <si>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</si>
  <si>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</si>
  <si>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</si>
  <si>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</si>
  <si>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</si>
  <si>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</si>
  <si>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</si>
  <si>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</si>
  <si>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</si>
  <si>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</si>
  <si>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</si>
  <si>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</si>
  <si>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</si>
  <si>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</si>
  <si>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</si>
  <si>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</si>
  <si>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</si>
  <si>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</si>
  <si>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</si>
  <si>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</si>
  <si>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</si>
  <si>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</si>
  <si>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</si>
  <si>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</si>
  <si>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</si>
  <si>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</si>
  <si>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</si>
  <si>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</si>
  <si>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</si>
  <si>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</si>
  <si>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</si>
  <si>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</si>
  <si>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</si>
  <si>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</si>
  <si>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</si>
  <si>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</si>
  <si>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</si>
  <si>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</si>
  <si>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</si>
  <si>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</si>
  <si>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</si>
  <si>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</si>
  <si>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</si>
  <si>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</si>
  <si>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</si>
  <si>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</si>
  <si>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</si>
  <si>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</si>
  <si>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</si>
  <si>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</si>
  <si>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</si>
  <si>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</si>
  <si>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</si>
  <si>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</si>
  <si>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</si>
  <si>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</si>
  <si>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</si>
  <si>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</si>
  <si>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</si>
  <si>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</si>
  <si>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</si>
  <si>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</si>
  <si>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</si>
  <si>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</si>
  <si>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</si>
  <si>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</si>
  <si>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</si>
  <si>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</si>
  <si>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</si>
  <si>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</si>
  <si>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</si>
  <si>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</si>
  <si>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</si>
  <si>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</si>
  <si>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</si>
  <si>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</si>
  <si>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</si>
  <si>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</si>
  <si>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</si>
  <si>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</si>
  <si>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</si>
  <si>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</si>
  <si>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</si>
  <si>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</si>
  <si>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</si>
  <si>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</si>
  <si>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</si>
  <si>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</si>
  <si>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</si>
  <si>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</si>
  <si>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</si>
  <si>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</si>
  <si>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</si>
  <si>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</si>
  <si>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</si>
  <si>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</si>
  <si>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</si>
  <si>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</si>
  <si>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</si>
  <si>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</si>
  <si>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</si>
  <si>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</si>
  <si>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</si>
  <si>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</si>
  <si>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</si>
  <si>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</si>
  <si>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</si>
  <si>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</si>
  <si>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</si>
  <si>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</si>
  <si>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</si>
  <si>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</si>
  <si>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</si>
  <si>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</si>
  <si>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</si>
  <si>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</si>
  <si>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</si>
  <si>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</si>
  <si>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</si>
  <si>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</si>
  <si>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</si>
  <si>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</si>
  <si>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</si>
  <si>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</si>
  <si>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</si>
  <si>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</si>
  <si>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</si>
  <si>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</si>
  <si>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</si>
  <si>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</si>
  <si>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</si>
  <si>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</si>
  <si>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</si>
  <si>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</si>
  <si>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</si>
  <si>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</si>
  <si>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</si>
  <si>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</si>
  <si>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</si>
  <si>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</si>
  <si>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</si>
  <si>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</si>
  <si>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</si>
  <si>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</si>
  <si>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</si>
  <si>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</si>
  <si>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</si>
  <si>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</si>
  <si>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</si>
  <si>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</si>
  <si>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</si>
  <si>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</si>
  <si>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</si>
  <si>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</si>
  <si>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</si>
  <si>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</si>
  <si>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</si>
  <si>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</si>
  <si>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</si>
  <si>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</si>
  <si>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</si>
  <si>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</si>
  <si>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</si>
  <si>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</si>
  <si>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</si>
  <si>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</si>
  <si>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</si>
  <si>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</si>
  <si>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</si>
  <si>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</si>
  <si>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</si>
  <si>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</si>
  <si>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</si>
  <si>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</si>
  <si>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</si>
  <si>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</si>
  <si>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</si>
  <si>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</si>
  <si>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</si>
  <si>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</si>
  <si>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</si>
  <si>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</si>
  <si>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</si>
  <si>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</si>
  <si>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</si>
  <si>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</si>
  <si>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</si>
  <si>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</si>
  <si>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</si>
  <si>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</si>
  <si>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</si>
  <si>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</si>
  <si>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</si>
  <si>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</si>
  <si>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</si>
  <si>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</si>
  <si>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</si>
  <si>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</si>
  <si>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</si>
  <si>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</si>
  <si>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</si>
  <si>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</si>
  <si>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</si>
  <si>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</si>
  <si>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</si>
  <si>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</si>
  <si>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</si>
  <si>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</si>
  <si>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</si>
  <si>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</si>
  <si>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</si>
  <si>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</si>
  <si>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</si>
  <si>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</si>
  <si>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</si>
  <si>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</si>
  <si>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</si>
  <si>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</si>
  <si>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</si>
  <si>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</si>
  <si>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</si>
  <si>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</si>
  <si>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</si>
  <si>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</si>
  <si>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</si>
  <si>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</si>
  <si>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</si>
  <si>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</si>
  <si>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</si>
  <si>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</si>
  <si>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</si>
  <si>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</si>
  <si>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</si>
  <si>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</si>
  <si>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</si>
  <si>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</si>
  <si>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</si>
  <si>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</si>
  <si>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</si>
  <si>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</si>
  <si>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</si>
  <si>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</si>
  <si>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</si>
  <si>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</si>
  <si>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</si>
  <si>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</si>
  <si>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</si>
  <si>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</si>
  <si>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</si>
  <si>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</si>
  <si>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</si>
  <si>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</si>
  <si>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</si>
  <si>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</si>
  <si>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</si>
  <si>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</si>
  <si>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</si>
  <si>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</si>
  <si>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</si>
  <si>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</si>
  <si>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</si>
  <si>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</si>
  <si>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</si>
  <si>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</si>
  <si>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</si>
  <si>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</si>
  <si>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</si>
  <si>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</si>
  <si>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</si>
  <si>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</si>
  <si>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</si>
  <si>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</si>
  <si>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</si>
  <si>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</si>
  <si>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</si>
  <si>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</si>
  <si>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</si>
  <si>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</si>
  <si>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</si>
  <si>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</si>
  <si>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</si>
  <si>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</si>
  <si>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</si>
  <si>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</si>
  <si>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</si>
  <si>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</si>
  <si>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</si>
  <si>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</si>
  <si>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</si>
  <si>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</si>
  <si>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</si>
  <si>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</si>
  <si>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</si>
  <si>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</si>
  <si>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</si>
  <si>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</si>
  <si>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</si>
  <si>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</si>
  <si>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</si>
  <si>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</si>
  <si>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</si>
  <si>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</si>
  <si>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</si>
  <si>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</si>
  <si>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</si>
  <si>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</si>
  <si>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</si>
  <si>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</si>
  <si>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</si>
  <si>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</si>
  <si>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</si>
  <si>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</si>
  <si>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</si>
  <si>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</si>
  <si>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</si>
  <si>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</si>
  <si>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</si>
  <si>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</si>
  <si>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</si>
  <si>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</si>
  <si>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</si>
  <si>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</si>
  <si>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</si>
  <si>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</si>
  <si>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</si>
  <si>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</si>
  <si>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</si>
  <si>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</si>
  <si>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</si>
  <si>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</si>
  <si>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</si>
  <si>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</si>
  <si>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</si>
  <si>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</si>
  <si>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</si>
  <si>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</si>
  <si>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</si>
  <si>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</si>
  <si>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</si>
  <si>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</si>
  <si>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</si>
  <si>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</si>
  <si>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</si>
  <si>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</si>
  <si>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</si>
  <si>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</si>
  <si>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</si>
  <si>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</si>
  <si>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</si>
  <si>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</si>
  <si>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</si>
  <si>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</si>
  <si>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</si>
  <si>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</si>
  <si>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</si>
  <si>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</si>
  <si>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</si>
  <si>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</si>
  <si>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</si>
  <si>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</si>
  <si>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</si>
  <si>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</si>
  <si>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</si>
  <si>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</si>
  <si>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</si>
  <si>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</si>
  <si>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</si>
  <si>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</si>
  <si>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</si>
  <si>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</si>
  <si>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</si>
  <si>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</si>
  <si>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</si>
  <si>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</si>
  <si>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</si>
  <si>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</si>
  <si>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</si>
  <si>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</si>
  <si>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</si>
  <si>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</si>
  <si>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</si>
  <si>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</si>
  <si>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</si>
  <si>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</si>
  <si>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</si>
  <si>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</si>
  <si>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</si>
  <si>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</si>
  <si>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</si>
  <si>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</si>
  <si>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</si>
  <si>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</si>
  <si>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</si>
  <si>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</si>
  <si>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</si>
  <si>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</si>
  <si>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</si>
  <si>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</si>
  <si>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</si>
  <si>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</si>
  <si>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</si>
  <si>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</si>
  <si>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</si>
  <si>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</si>
  <si>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</si>
  <si>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</si>
  <si>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</si>
  <si>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</si>
  <si>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</si>
  <si>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</si>
  <si>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</si>
  <si>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</si>
  <si>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</si>
  <si>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</si>
  <si>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</si>
  <si>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</si>
  <si>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</si>
  <si>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</si>
  <si>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</si>
  <si>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</si>
  <si>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</si>
  <si>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</si>
  <si>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</si>
  <si>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</si>
  <si>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</si>
  <si>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</si>
  <si>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</si>
  <si>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</si>
  <si>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</si>
  <si>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</si>
  <si>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</si>
  <si>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</si>
  <si>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</si>
  <si>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</si>
  <si>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</si>
  <si>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</si>
  <si>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</si>
  <si>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</si>
  <si>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</si>
  <si>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</si>
  <si>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</si>
  <si>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</si>
  <si>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</si>
  <si>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</si>
  <si>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</si>
  <si>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</si>
  <si>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</si>
  <si>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</si>
  <si>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</si>
  <si>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</si>
  <si>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</si>
  <si>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</si>
  <si>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</si>
  <si>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</si>
  <si>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</si>
  <si>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</si>
  <si>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</si>
  <si>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</si>
  <si>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</si>
  <si>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</si>
  <si>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</si>
  <si>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</si>
  <si>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</si>
  <si>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</si>
  <si>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</si>
  <si>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</si>
  <si>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</si>
  <si>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</si>
  <si>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</si>
  <si>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</si>
  <si>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</si>
  <si>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</si>
  <si>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</si>
  <si>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</si>
  <si>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</si>
  <si>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</si>
  <si>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</si>
  <si>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</si>
  <si>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</si>
  <si>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</si>
  <si>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</si>
  <si>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</si>
  <si>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</si>
  <si>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</si>
  <si>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</si>
  <si>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</si>
  <si>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</si>
  <si>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</si>
  <si>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</si>
  <si>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</si>
  <si>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</si>
  <si>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</si>
  <si>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</si>
  <si>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</si>
  <si>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</si>
  <si>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</si>
  <si>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</si>
  <si>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</si>
  <si>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</si>
  <si>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</si>
  <si>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</si>
  <si>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</si>
  <si>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</si>
  <si>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</si>
  <si>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</si>
  <si>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</si>
  <si>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</si>
  <si>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</si>
  <si>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</si>
  <si>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</si>
  <si>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</si>
  <si>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</si>
  <si>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</si>
  <si>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</si>
  <si>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</si>
  <si>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</si>
  <si>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</si>
  <si>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</si>
  <si>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</si>
  <si>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</si>
  <si>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</si>
  <si>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</si>
  <si>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</si>
  <si>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</si>
  <si>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</si>
  <si>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</si>
  <si>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</si>
  <si>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</si>
  <si>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</si>
  <si>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</si>
  <si>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</si>
  <si>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</si>
  <si>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</si>
  <si>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</si>
  <si>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</si>
  <si>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</si>
  <si>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</si>
  <si>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</si>
  <si>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</si>
  <si>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</si>
  <si>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</si>
  <si>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</si>
  <si>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</si>
  <si>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</si>
  <si>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</si>
  <si>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</si>
  <si>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</si>
  <si>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</si>
  <si>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</si>
  <si>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</si>
  <si>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</si>
  <si>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</si>
  <si>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</si>
  <si>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</si>
  <si>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</si>
  <si>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</si>
  <si>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</si>
  <si>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</si>
  <si>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</si>
  <si>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</si>
  <si>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</si>
  <si>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</si>
  <si>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</si>
  <si>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</si>
  <si>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</si>
  <si>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</si>
  <si>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</si>
  <si>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</si>
  <si>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</si>
  <si>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</si>
  <si>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</si>
  <si>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</si>
  <si>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</si>
  <si>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</si>
  <si>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</si>
  <si>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</si>
  <si>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</si>
  <si>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</si>
  <si>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</si>
  <si>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</si>
  <si>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</si>
  <si>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</si>
  <si>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</si>
  <si>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</si>
  <si>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</si>
  <si>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</si>
  <si>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</si>
  <si>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</si>
  <si>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</si>
  <si>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</si>
  <si>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</si>
  <si>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</si>
  <si>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</si>
  <si>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</si>
  <si>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</si>
  <si>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</si>
  <si>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</si>
  <si>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</si>
  <si>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</si>
  <si>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</si>
  <si>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</si>
  <si>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</si>
  <si>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</si>
  <si>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</si>
  <si>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</si>
  <si>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</si>
  <si>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</si>
  <si>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</si>
  <si>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</si>
  <si>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</si>
  <si>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</si>
  <si>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</si>
  <si>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</si>
  <si>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</si>
  <si>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</si>
  <si>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</si>
  <si>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</si>
  <si>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</si>
  <si>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</si>
  <si>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</si>
  <si>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</si>
  <si>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</si>
  <si>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</si>
  <si>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</si>
  <si>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</si>
  <si>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</si>
  <si>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</si>
  <si>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</si>
  <si>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</si>
  <si>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</si>
  <si>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</si>
  <si>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</si>
  <si>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</si>
  <si>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</si>
  <si>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</si>
  <si>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</si>
  <si>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</si>
  <si>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</si>
  <si>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</si>
  <si>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</si>
  <si>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</si>
  <si>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</si>
  <si>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</si>
  <si>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</si>
  <si>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</si>
  <si>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</si>
  <si>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</si>
  <si>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</si>
  <si>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</si>
  <si>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</si>
  <si>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</si>
  <si>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</si>
  <si>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</si>
  <si>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</si>
  <si>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</si>
  <si>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</si>
  <si>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</si>
  <si>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</si>
  <si>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</si>
  <si>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</si>
  <si>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</si>
  <si>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</si>
  <si>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</si>
  <si>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</si>
  <si>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</si>
  <si>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</si>
  <si>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</si>
  <si>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</si>
  <si>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</si>
  <si>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</si>
  <si>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</si>
  <si>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</si>
  <si>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</si>
  <si>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</si>
  <si>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</si>
  <si>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</si>
  <si>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</si>
  <si>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</si>
  <si>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</si>
  <si>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</si>
  <si>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</si>
  <si>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</si>
  <si>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</si>
  <si>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</si>
  <si>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</si>
  <si>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</si>
  <si>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</si>
  <si>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</si>
  <si>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</si>
  <si>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</si>
  <si>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</si>
  <si>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</si>
  <si>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</si>
  <si>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</si>
  <si>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</si>
  <si>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</si>
  <si>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</si>
  <si>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</si>
  <si>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</si>
  <si>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</si>
  <si>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</si>
  <si>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</si>
  <si>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</si>
  <si>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</si>
  <si>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</si>
  <si>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</si>
  <si>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</si>
  <si>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</si>
  <si>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</si>
  <si>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</si>
  <si>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</si>
  <si>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</si>
  <si>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</si>
  <si>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</si>
  <si>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</si>
  <si>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</si>
  <si>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</si>
  <si>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</si>
  <si>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</si>
  <si>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</si>
  <si>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</si>
  <si>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</si>
  <si>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</si>
  <si>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</si>
  <si>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</si>
  <si>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</si>
  <si>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</si>
  <si>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</si>
  <si>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</si>
  <si>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</si>
  <si>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</si>
  <si>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</si>
  <si>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</si>
  <si>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</si>
  <si>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</si>
  <si>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</si>
  <si>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</si>
  <si>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</si>
  <si>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</si>
  <si>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</si>
  <si>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</si>
  <si>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</si>
  <si>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</si>
  <si>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</si>
  <si>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</si>
  <si>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</si>
  <si>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</si>
  <si>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</si>
  <si>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</si>
  <si>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</si>
  <si>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</si>
  <si>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</si>
  <si>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</si>
  <si>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</si>
  <si>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</si>
  <si>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</si>
  <si>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</si>
  <si>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</si>
  <si>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</si>
  <si>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</si>
  <si>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</si>
  <si>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</si>
  <si>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</si>
  <si>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</si>
  <si>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</si>
  <si>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</si>
  <si>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</si>
  <si>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</si>
  <si>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</si>
  <si>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</si>
  <si>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</si>
  <si>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</si>
  <si>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</si>
  <si>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</si>
  <si>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</si>
  <si>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</si>
  <si>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</si>
  <si>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</si>
  <si>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</si>
  <si>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</si>
  <si>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</si>
  <si>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</si>
  <si>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</si>
  <si>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</si>
  <si>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</si>
  <si>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</si>
  <si>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</si>
  <si>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</si>
  <si>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</si>
  <si>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</si>
  <si>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</si>
  <si>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</si>
  <si>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</si>
  <si>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</si>
  <si>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</si>
  <si>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</si>
  <si>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</si>
  <si>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</si>
  <si>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</si>
  <si>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</si>
  <si>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</si>
  <si>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</si>
  <si>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</si>
  <si>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</si>
  <si>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</si>
  <si>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</si>
  <si>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</si>
  <si>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</si>
  <si>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</si>
  <si>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</si>
  <si>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</si>
  <si>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</si>
  <si>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</si>
  <si>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</si>
  <si>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</si>
  <si>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</si>
  <si>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</si>
  <si>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</si>
  <si>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</si>
  <si>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</si>
  <si>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</si>
  <si>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</si>
  <si>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</si>
  <si>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</si>
  <si>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</si>
  <si>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</si>
  <si>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</si>
  <si>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</si>
  <si>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</si>
  <si>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</si>
  <si>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</si>
  <si>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</si>
  <si>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</si>
  <si>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</si>
  <si>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</si>
  <si>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</si>
  <si>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</si>
  <si>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</si>
  <si>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</si>
  <si>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</si>
  <si>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</si>
  <si>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</si>
  <si>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</si>
  <si>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</si>
  <si>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</si>
  <si>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</si>
  <si>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</si>
  <si>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</si>
  <si>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</si>
  <si>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</si>
  <si>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</si>
  <si>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</si>
  <si>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</si>
  <si>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</si>
  <si>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</si>
  <si>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</si>
  <si>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</si>
  <si>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</si>
  <si>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</si>
  <si>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</si>
  <si>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</si>
  <si>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</si>
  <si>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</si>
  <si>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</si>
  <si>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</si>
  <si>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</si>
  <si>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</si>
  <si>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</si>
  <si>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</si>
  <si>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</si>
  <si>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</si>
  <si>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</si>
  <si>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</si>
  <si>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</si>
  <si>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</si>
  <si>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</si>
  <si>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</si>
  <si>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</si>
  <si>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</si>
  <si>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</si>
  <si>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</si>
  <si>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</si>
  <si>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</si>
  <si>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</si>
  <si>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</si>
  <si>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</si>
  <si>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</si>
  <si>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</si>
  <si>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</si>
  <si>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</si>
  <si>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</si>
  <si>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</si>
  <si>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</si>
  <si>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</si>
  <si>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</si>
  <si>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</si>
  <si>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</si>
  <si>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</si>
  <si>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</si>
  <si>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</si>
  <si>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</si>
  <si>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</si>
  <si>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</si>
  <si>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</si>
  <si>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</si>
  <si>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</si>
  <si>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</si>
  <si>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</si>
  <si>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</si>
  <si>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</si>
  <si>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</si>
  <si>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</si>
  <si>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</si>
  <si>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</si>
  <si>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</si>
  <si>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</si>
  <si>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</si>
  <si>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</si>
  <si>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</si>
  <si>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</si>
  <si>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</si>
  <si>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</si>
  <si>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</si>
  <si>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</si>
  <si>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</si>
  <si>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</si>
  <si>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</si>
  <si>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</si>
  <si>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</si>
  <si>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</si>
  <si>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</si>
  <si>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</si>
  <si>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</si>
  <si>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</si>
  <si>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</si>
  <si>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</si>
  <si>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</si>
  <si>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</si>
  <si>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</si>
  <si>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</si>
  <si>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</si>
  <si>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</si>
  <si>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</si>
  <si>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</si>
  <si>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</si>
  <si>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</si>
  <si>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</si>
  <si>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</si>
  <si>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</si>
  <si>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</si>
  <si>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</si>
  <si>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</si>
  <si>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</si>
  <si>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</si>
  <si>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</si>
  <si>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</si>
  <si>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</si>
  <si>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</si>
  <si>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</si>
  <si>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</si>
  <si>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</si>
  <si>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</si>
  <si>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</si>
  <si>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</si>
  <si>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</si>
  <si>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</si>
  <si>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</si>
  <si>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</si>
  <si>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</si>
  <si>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</si>
  <si>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</si>
  <si>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</si>
  <si>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</si>
  <si>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</si>
  <si>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</si>
  <si>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</si>
  <si>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</si>
  <si>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</si>
  <si>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</si>
  <si>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</si>
  <si>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</si>
  <si>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</si>
  <si>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</si>
  <si>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</si>
  <si>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</si>
  <si>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</si>
  <si>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</si>
  <si>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</si>
  <si>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</si>
  <si>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</si>
  <si>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</si>
  <si>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</si>
  <si>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</si>
  <si>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</si>
  <si>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</si>
  <si>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</si>
  <si>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</si>
  <si>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</si>
  <si>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</si>
  <si>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</si>
  <si>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</si>
  <si>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</si>
  <si>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</si>
  <si>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</si>
  <si>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</si>
  <si>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</si>
  <si>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</si>
  <si>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</si>
  <si>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</si>
  <si>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</si>
  <si>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</si>
  <si>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</si>
  <si>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</si>
  <si>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</si>
  <si>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</si>
  <si>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</si>
  <si>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</si>
  <si>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</si>
  <si>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</si>
  <si>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</si>
  <si>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</si>
  <si>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</si>
  <si>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</si>
  <si>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</si>
  <si>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</si>
  <si>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</si>
  <si>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</si>
  <si>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</si>
  <si>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</si>
  <si>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</si>
  <si>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</si>
  <si>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</si>
  <si>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</si>
  <si>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</si>
  <si>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</si>
  <si>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</si>
  <si>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</si>
  <si>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</si>
  <si>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</si>
  <si>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</si>
  <si>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</si>
  <si>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</si>
  <si>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</si>
  <si>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</si>
  <si>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</si>
  <si>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</si>
  <si>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</si>
  <si>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</si>
  <si>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</si>
  <si>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</si>
  <si>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</si>
  <si>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</si>
  <si>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</si>
  <si>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</si>
  <si>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</si>
  <si>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</si>
  <si>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</si>
  <si>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</si>
  <si>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</si>
  <si>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</si>
  <si>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</si>
  <si>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</si>
  <si>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</si>
  <si>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</si>
  <si>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</si>
  <si>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</si>
  <si>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</si>
  <si>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</si>
  <si>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</si>
  <si>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</si>
  <si>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</si>
  <si>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</si>
  <si>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</si>
  <si>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</si>
  <si>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</si>
  <si>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</si>
  <si>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</si>
  <si>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</si>
  <si>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</si>
  <si>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</si>
  <si>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</si>
  <si>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</si>
  <si>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</si>
  <si>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</si>
  <si>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</si>
  <si>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</si>
  <si>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</si>
  <si>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</si>
  <si>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</si>
  <si>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</si>
  <si>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</si>
  <si>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</si>
  <si>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</si>
  <si>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</si>
  <si>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</si>
  <si>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</si>
  <si>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</si>
  <si>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</si>
  <si>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</si>
  <si>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</si>
  <si>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</si>
  <si>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</si>
  <si>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</si>
  <si>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</si>
  <si>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</si>
  <si>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</si>
  <si>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</si>
  <si>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</si>
  <si>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</si>
  <si>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</si>
  <si>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</si>
  <si>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</si>
  <si>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</si>
  <si>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</si>
  <si>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</si>
  <si>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</si>
  <si>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</si>
  <si>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</si>
  <si>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</si>
  <si>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</si>
  <si>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</si>
  <si>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</si>
  <si>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</si>
  <si>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</si>
  <si>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</si>
  <si>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</si>
  <si>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</si>
  <si>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</si>
  <si>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</si>
  <si>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</si>
  <si>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</si>
  <si>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</si>
  <si>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</si>
  <si>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</si>
  <si>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</si>
  <si>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</si>
  <si>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</si>
  <si>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</si>
  <si>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</si>
  <si>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</si>
  <si>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</si>
  <si>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</si>
  <si>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</si>
  <si>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</si>
  <si>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</si>
  <si>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</si>
  <si>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</si>
  <si>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</si>
  <si>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</si>
  <si>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</si>
  <si>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</si>
  <si>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</si>
  <si>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</si>
  <si>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</si>
  <si>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</si>
  <si>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</si>
  <si>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</si>
  <si>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</si>
  <si>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</si>
  <si>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</si>
  <si>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</si>
  <si>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</si>
  <si>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</si>
  <si>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</si>
  <si>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</si>
  <si>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</si>
  <si>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</si>
  <si>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</si>
  <si>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</si>
  <si>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</si>
  <si>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</si>
  <si>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</si>
  <si>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</si>
  <si>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</si>
  <si>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</si>
  <si>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</si>
  <si>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</si>
  <si>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</si>
  <si>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</si>
  <si>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</si>
  <si>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</si>
  <si>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</si>
  <si>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</si>
  <si>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</si>
  <si>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</si>
  <si>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</si>
  <si>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</si>
  <si>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</si>
  <si>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</si>
  <si>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</si>
  <si>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</si>
  <si>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</si>
  <si>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</si>
  <si>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</si>
  <si>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</si>
  <si>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</si>
  <si>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</si>
  <si>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</si>
  <si>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</si>
  <si>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</si>
  <si>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</si>
  <si>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</si>
  <si>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</si>
  <si>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</si>
  <si>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</si>
  <si>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</si>
  <si>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</si>
  <si>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</si>
  <si>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</si>
  <si>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</si>
  <si>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</si>
  <si>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</si>
  <si>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</si>
  <si>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</si>
  <si>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</si>
  <si>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</si>
  <si>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</si>
  <si>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</si>
  <si>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</si>
  <si>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</si>
  <si>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</si>
  <si>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</si>
  <si>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</si>
  <si>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</si>
  <si>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</si>
  <si>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</si>
  <si>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</si>
  <si>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</si>
  <si>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</si>
  <si>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</si>
  <si>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</si>
  <si>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</si>
  <si>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</si>
  <si>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</si>
  <si>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</si>
  <si>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</si>
  <si>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</si>
  <si>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</si>
  <si>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</si>
  <si>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</si>
  <si>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</si>
  <si>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</si>
  <si>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</si>
  <si>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</si>
  <si>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</si>
  <si>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</si>
  <si>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</si>
  <si>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</si>
  <si>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</si>
  <si>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</si>
  <si>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</si>
  <si>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</si>
  <si>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</si>
  <si>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</si>
  <si>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</si>
  <si>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</si>
  <si>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</si>
  <si>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</si>
  <si>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</si>
  <si>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</si>
  <si>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</si>
  <si>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</si>
  <si>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</si>
  <si>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</si>
  <si>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</si>
  <si>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</si>
  <si>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</si>
  <si>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</si>
  <si>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</si>
  <si>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</si>
  <si>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</si>
  <si>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</si>
  <si>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</si>
  <si>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</si>
  <si>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</si>
  <si>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</si>
  <si>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</si>
  <si>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</si>
  <si>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</si>
  <si>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</si>
  <si>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</si>
  <si>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</si>
  <si>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</si>
  <si>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</si>
  <si>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</si>
  <si>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</si>
  <si>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</si>
  <si>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</si>
  <si>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</si>
  <si>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</si>
  <si>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</si>
  <si>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</si>
  <si>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</si>
  <si>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</si>
  <si>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</si>
  <si>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</si>
  <si>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</si>
  <si>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</si>
  <si>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</si>
  <si>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</si>
  <si>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</si>
  <si>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</si>
  <si>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</si>
  <si>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</si>
  <si>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</si>
  <si>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</si>
  <si>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</si>
  <si>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</si>
  <si>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</si>
  <si>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</si>
  <si>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</si>
  <si>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</si>
  <si>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</si>
  <si>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</si>
  <si>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</si>
  <si>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</si>
  <si>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</si>
  <si>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</si>
  <si>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</si>
  <si>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</si>
  <si>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</si>
  <si>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</si>
  <si>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</si>
  <si>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</si>
  <si>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</si>
  <si>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</si>
  <si>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</si>
  <si>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</si>
  <si>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</si>
  <si>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</si>
  <si>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</si>
  <si>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</si>
  <si>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</si>
  <si>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</si>
  <si>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</si>
  <si>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</si>
  <si>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</si>
  <si>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</si>
  <si>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</si>
  <si>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</si>
  <si>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</si>
  <si>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</si>
  <si>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</si>
  <si>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</si>
  <si>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</si>
  <si>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</si>
  <si>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</si>
  <si>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</si>
  <si>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</si>
  <si>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</si>
  <si>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</si>
  <si>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</si>
  <si>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</si>
  <si>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</si>
  <si>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</si>
  <si>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</si>
  <si>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</si>
  <si>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</si>
  <si>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</si>
  <si>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</si>
  <si>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</si>
  <si>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</si>
  <si>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</si>
  <si>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</si>
  <si>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</si>
  <si>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</si>
  <si>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</si>
  <si>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</si>
  <si>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</si>
  <si>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</si>
  <si>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</si>
  <si>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</si>
  <si>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</si>
  <si>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</si>
  <si>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</si>
  <si>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</si>
  <si>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</si>
  <si>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</si>
  <si>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</si>
  <si>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</si>
  <si>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</si>
  <si>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</si>
  <si>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</si>
  <si>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</si>
  <si>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</si>
  <si>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</si>
  <si>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</si>
  <si>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</si>
  <si>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</si>
  <si>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</si>
  <si>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</si>
  <si>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</si>
  <si>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</si>
  <si>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</si>
  <si>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</si>
  <si>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</si>
  <si>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</si>
  <si>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</si>
  <si>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</si>
  <si>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</si>
  <si>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</si>
  <si>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</si>
  <si>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</si>
  <si>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</si>
  <si>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</si>
  <si>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</si>
  <si>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</si>
  <si>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</si>
  <si>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</si>
  <si>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</si>
  <si>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</si>
  <si>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</si>
  <si>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</si>
  <si>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</si>
  <si>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</si>
  <si>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</si>
  <si>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</si>
  <si>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</si>
  <si>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</si>
  <si>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</si>
  <si>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</si>
  <si>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</si>
  <si>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</si>
  <si>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</si>
  <si>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</si>
  <si>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</si>
  <si>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</si>
  <si>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</si>
  <si>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</si>
  <si>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</si>
  <si>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</si>
  <si>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</si>
  <si>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</si>
  <si>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</si>
  <si>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</si>
  <si>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</si>
  <si>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</si>
  <si>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</si>
  <si>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</si>
  <si>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</si>
  <si>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</si>
  <si>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</si>
  <si>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</si>
  <si>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</si>
  <si>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</si>
  <si>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</si>
  <si>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</si>
  <si>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</si>
  <si>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</si>
  <si>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</si>
  <si>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</si>
  <si>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</si>
  <si>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</si>
  <si>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</si>
  <si>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</si>
  <si>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</si>
  <si>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</si>
  <si>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</si>
  <si>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</si>
  <si>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</si>
  <si>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</si>
  <si>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</si>
  <si>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</si>
  <si>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</si>
  <si>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</si>
  <si>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</si>
  <si>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</si>
  <si>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</si>
  <si>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</si>
  <si>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</si>
  <si>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</si>
  <si>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</si>
  <si>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</si>
  <si>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</si>
  <si>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</si>
  <si>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</si>
  <si>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</si>
  <si>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</si>
  <si>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</si>
  <si>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</si>
  <si>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</si>
  <si>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</si>
  <si>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</si>
  <si>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</si>
  <si>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</si>
  <si>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</si>
  <si>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</si>
  <si>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</si>
  <si>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</si>
  <si>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</si>
  <si>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</si>
  <si>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</si>
  <si>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</si>
  <si>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</si>
  <si>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</si>
  <si>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</si>
  <si>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</si>
  <si>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</si>
  <si>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</si>
  <si>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</si>
  <si>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</si>
  <si>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</si>
  <si>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</si>
  <si>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</si>
  <si>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</si>
  <si>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</si>
  <si>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</si>
  <si>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</si>
  <si>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</si>
  <si>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</si>
  <si>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</si>
  <si>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</si>
  <si>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</si>
  <si>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</si>
  <si>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</si>
  <si>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</si>
  <si>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</si>
  <si>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</si>
  <si>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</si>
  <si>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</si>
  <si>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</si>
  <si>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</si>
  <si>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</si>
  <si>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</si>
  <si>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</si>
  <si>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</si>
  <si>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</si>
  <si>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</si>
  <si>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</si>
  <si>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</si>
  <si>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</si>
  <si>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</si>
  <si>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</si>
  <si>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</si>
  <si>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</si>
  <si>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</si>
  <si>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</si>
  <si>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</si>
  <si>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</si>
  <si>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</si>
  <si>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</si>
  <si>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</si>
  <si>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</si>
  <si>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</si>
  <si>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</si>
  <si>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</si>
  <si>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</si>
  <si>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</si>
  <si>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</si>
  <si>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</si>
  <si>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</si>
  <si>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</si>
  <si>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</si>
  <si>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</si>
  <si>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</si>
  <si>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</si>
  <si>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</si>
  <si>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</si>
  <si>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</si>
  <si>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</si>
  <si>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</si>
  <si>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</si>
  <si>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</si>
  <si>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</si>
  <si>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</si>
  <si>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</si>
  <si>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</si>
  <si>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</si>
  <si>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</si>
  <si>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</si>
  <si>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</si>
  <si>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</si>
  <si>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</si>
  <si>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</si>
  <si>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</si>
  <si>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</si>
  <si>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</si>
  <si>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</si>
  <si>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</si>
  <si>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</si>
  <si>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</si>
  <si>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</si>
  <si>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</si>
  <si>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</si>
  <si>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</si>
  <si>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</si>
  <si>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</si>
  <si>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</si>
  <si>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</si>
  <si>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</si>
  <si>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</si>
  <si>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</si>
  <si>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</si>
  <si>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</si>
  <si>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</si>
  <si>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</si>
  <si>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</si>
  <si>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</si>
  <si>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</si>
  <si>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</si>
  <si>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</si>
  <si>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</si>
  <si>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</si>
  <si>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</si>
  <si>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</si>
  <si>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</si>
  <si>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</si>
  <si>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</si>
  <si>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</si>
  <si>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</si>
  <si>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</si>
  <si>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</si>
  <si>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</si>
  <si>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</si>
  <si>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</si>
  <si>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</si>
  <si>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</si>
  <si>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</si>
  <si>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</si>
  <si>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</si>
  <si>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</si>
  <si>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</si>
  <si>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</si>
  <si>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</si>
  <si>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</si>
  <si>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</si>
  <si>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</si>
  <si>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</si>
  <si>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</si>
  <si>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</si>
  <si>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</si>
  <si>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</si>
  <si>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</si>
  <si>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</si>
  <si>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</si>
  <si>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</si>
  <si>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</si>
  <si>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</si>
  <si>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</si>
  <si>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</si>
  <si>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</si>
  <si>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</si>
  <si>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</si>
  <si>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</si>
  <si>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</si>
  <si>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</si>
  <si>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</si>
  <si>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</si>
  <si>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</si>
  <si>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</si>
  <si>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</si>
  <si>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</si>
  <si>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</si>
  <si>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</si>
  <si>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</si>
  <si>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</si>
  <si>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</si>
  <si>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</si>
  <si>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</si>
  <si>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</si>
  <si>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</si>
  <si>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</si>
  <si>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</si>
  <si>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</si>
  <si>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</si>
  <si>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</si>
  <si>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</si>
  <si>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</si>
  <si>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</si>
  <si>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</si>
  <si>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</si>
  <si>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</si>
  <si>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</si>
  <si>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</si>
  <si>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</si>
  <si>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</si>
  <si>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</si>
  <si>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</si>
  <si>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</si>
  <si>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</si>
  <si>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</si>
  <si>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</si>
  <si>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</si>
  <si>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</si>
  <si>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</si>
  <si>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</si>
  <si>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</si>
  <si>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</si>
  <si>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</si>
  <si>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</si>
  <si>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</si>
  <si>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</si>
  <si>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</si>
  <si>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</si>
  <si>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</si>
  <si>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</si>
  <si>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</si>
  <si>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</si>
  <si>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</si>
  <si>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</si>
  <si>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</si>
  <si>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</si>
  <si>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</si>
  <si>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</si>
  <si>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</si>
  <si>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</si>
  <si>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</si>
  <si>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</si>
  <si>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</si>
  <si>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</si>
  <si>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</si>
  <si>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</si>
  <si>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</si>
  <si>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</si>
  <si>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</si>
  <si>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</si>
  <si>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</si>
  <si>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</si>
  <si>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</si>
  <si>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</si>
  <si>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</si>
  <si>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</si>
  <si>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</si>
  <si>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</si>
  <si>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</si>
  <si>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</si>
  <si>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</si>
  <si>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</si>
  <si>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</si>
  <si>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</si>
  <si>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</si>
  <si>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</si>
  <si>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</si>
  <si>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</si>
  <si>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</si>
  <si>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</si>
  <si>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</si>
  <si>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</si>
  <si>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</si>
  <si>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</si>
  <si>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</si>
  <si>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</si>
  <si>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</si>
  <si>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</si>
  <si>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</si>
  <si>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</si>
  <si>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</si>
  <si>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</si>
  <si>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</si>
  <si>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</si>
  <si>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</si>
  <si>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</si>
  <si>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</si>
  <si>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</si>
  <si>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</si>
  <si>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</si>
  <si>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</si>
  <si>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</si>
  <si>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</si>
  <si>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</si>
  <si>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</si>
  <si>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</si>
  <si>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</si>
  <si>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</si>
  <si>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</si>
  <si>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</si>
  <si>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</si>
  <si>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</si>
  <si>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</si>
  <si>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</si>
  <si>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</si>
  <si>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</si>
  <si>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</si>
  <si>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</si>
  <si>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</si>
  <si>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</si>
  <si>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</si>
  <si>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</si>
  <si>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</si>
  <si>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</si>
  <si>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</si>
  <si>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</si>
  <si>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</si>
  <si>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</si>
  <si>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</si>
  <si>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</si>
  <si>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</si>
  <si>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</si>
  <si>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</si>
  <si>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</si>
  <si>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</si>
  <si>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</si>
  <si>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</si>
  <si>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</si>
  <si>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</si>
  <si>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</si>
  <si>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</si>
  <si>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</si>
  <si>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</si>
  <si>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</si>
  <si>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</si>
  <si>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</si>
  <si>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</si>
  <si>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</si>
  <si>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</si>
  <si>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</si>
  <si>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</si>
  <si>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</si>
  <si>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</si>
  <si>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</si>
  <si>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</si>
  <si>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</si>
  <si>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</si>
  <si>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</si>
  <si>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</si>
  <si>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</si>
  <si>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</si>
  <si>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</si>
  <si>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</si>
  <si>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</si>
  <si>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</si>
  <si>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</si>
  <si>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</si>
  <si>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</si>
  <si>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</si>
  <si>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</si>
  <si>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</si>
  <si>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</si>
  <si>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</si>
  <si>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</si>
  <si>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</si>
  <si>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</si>
  <si>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</si>
  <si>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</si>
  <si>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</si>
  <si>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</si>
  <si>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</si>
  <si>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</si>
  <si>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</si>
  <si>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</si>
  <si>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</si>
  <si>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</si>
  <si>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</si>
  <si>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</si>
  <si>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</si>
  <si>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</si>
  <si>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</si>
  <si>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</si>
  <si>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</si>
  <si>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</si>
  <si>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</si>
  <si>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</si>
  <si>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</si>
  <si>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</si>
  <si>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</si>
  <si>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</si>
  <si>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</si>
  <si>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</si>
  <si>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</si>
  <si>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</si>
  <si>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</si>
  <si>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</si>
  <si>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</si>
  <si>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</si>
  <si>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</si>
  <si>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</si>
  <si>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</si>
  <si>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</si>
  <si>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</si>
  <si>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</si>
  <si>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</si>
  <si>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</si>
  <si>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</si>
  <si>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</si>
  <si>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</si>
  <si>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</si>
  <si>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</si>
  <si>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</si>
  <si>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</si>
  <si>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</si>
  <si>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</si>
  <si>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</si>
  <si>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</si>
  <si>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</si>
  <si>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</si>
  <si>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</si>
  <si>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</si>
  <si>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</si>
  <si>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</si>
  <si>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</si>
  <si>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</si>
  <si>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</si>
  <si>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</si>
  <si>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</si>
  <si>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</si>
  <si>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</si>
  <si>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</si>
  <si>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</si>
  <si>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</si>
  <si>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</si>
  <si>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</si>
  <si>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</si>
  <si>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</si>
  <si>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</si>
  <si>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</si>
  <si>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</si>
  <si>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</si>
  <si>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</si>
  <si>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</si>
  <si>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</si>
  <si>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</si>
  <si>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</si>
  <si>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</si>
  <si>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</si>
  <si>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</si>
  <si>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</si>
  <si>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</si>
  <si>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</si>
  <si>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</si>
  <si>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</si>
  <si>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</si>
  <si>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</si>
  <si>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</si>
  <si>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</si>
  <si>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</si>
  <si>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</si>
  <si>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</si>
  <si>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</si>
  <si>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</si>
  <si>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</si>
  <si>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</si>
  <si>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</si>
  <si>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</si>
  <si>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</si>
  <si>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</si>
  <si>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</si>
  <si>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</si>
  <si>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</si>
  <si>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</si>
  <si>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</si>
  <si>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</si>
  <si>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</si>
  <si>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</si>
  <si>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</si>
  <si>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</si>
  <si>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</si>
  <si>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</si>
  <si>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</si>
  <si>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</si>
  <si>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</si>
  <si>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</si>
  <si>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</si>
  <si>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</si>
  <si>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</si>
  <si>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</si>
  <si>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</si>
  <si>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</si>
  <si>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</si>
  <si>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</si>
  <si>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</si>
  <si>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</si>
  <si>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</si>
  <si>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</si>
  <si>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</si>
  <si>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</si>
  <si>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</si>
  <si>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</si>
  <si>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</si>
  <si>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</si>
  <si>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</si>
  <si>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</si>
  <si>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</si>
  <si>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</si>
  <si>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</si>
  <si>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</si>
  <si>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</si>
  <si>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</si>
  <si>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</si>
  <si>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</si>
  <si>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</si>
  <si>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</si>
  <si>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</si>
  <si>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</si>
  <si>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</si>
  <si>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</si>
  <si>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</si>
  <si>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</si>
  <si>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</si>
  <si>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</si>
  <si>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</si>
  <si>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</si>
  <si>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</si>
  <si>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</si>
  <si>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</si>
  <si>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</si>
  <si>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</si>
  <si>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</si>
  <si>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</si>
  <si>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</si>
  <si>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</si>
  <si>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</si>
  <si>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</si>
  <si>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</si>
  <si>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</si>
  <si>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</si>
  <si>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</si>
  <si>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</si>
  <si>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</si>
  <si>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</si>
  <si>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</si>
  <si>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</si>
  <si>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</si>
  <si>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</si>
  <si>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</si>
  <si>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</si>
  <si>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</si>
  <si>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</si>
  <si>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</si>
  <si>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</si>
  <si>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</si>
  <si>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</si>
  <si>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</si>
  <si>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</si>
  <si>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</si>
  <si>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</si>
  <si>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</si>
  <si>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</si>
  <si>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</si>
  <si>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</si>
  <si>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</si>
  <si>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</si>
  <si>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</si>
  <si>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</si>
  <si>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</si>
  <si>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</si>
  <si>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</si>
  <si>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</si>
  <si>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</si>
  <si>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</si>
  <si>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</si>
  <si>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</si>
  <si>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</si>
  <si>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</si>
  <si>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</si>
  <si>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</si>
  <si>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</si>
  <si>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</si>
  <si>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</si>
  <si>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</si>
  <si>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</si>
  <si>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</si>
  <si>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</si>
  <si>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</si>
  <si>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</si>
  <si>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</si>
  <si>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</si>
  <si>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</si>
  <si>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</si>
  <si>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</si>
  <si>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</si>
  <si>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</si>
  <si>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</si>
  <si>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</si>
  <si>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</si>
  <si>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</si>
  <si>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</si>
  <si>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</si>
  <si>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</si>
  <si>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</si>
  <si>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</si>
  <si>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</si>
  <si>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</si>
  <si>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</si>
  <si>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</si>
  <si>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</si>
  <si>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</si>
  <si>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</si>
  <si>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</si>
  <si>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</si>
  <si>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</si>
  <si>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</si>
  <si>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</si>
  <si>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</si>
  <si>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</si>
  <si>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</si>
  <si>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</si>
  <si>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</si>
  <si>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</si>
  <si>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</si>
  <si>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</si>
  <si>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</si>
  <si>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</si>
  <si>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</si>
  <si>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</si>
  <si>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</si>
  <si>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</si>
  <si>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</si>
  <si>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</si>
  <si>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</si>
  <si>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</si>
  <si>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</si>
  <si>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</si>
  <si>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</si>
  <si>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</si>
  <si>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</si>
  <si>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</si>
  <si>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</si>
  <si>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</si>
  <si>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</si>
  <si>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</si>
  <si>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</si>
  <si>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</si>
  <si>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</si>
  <si>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</si>
  <si>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</si>
  <si>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</si>
  <si>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</si>
  <si>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</si>
  <si>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</si>
  <si>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</si>
  <si>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</si>
  <si>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</si>
  <si>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</si>
  <si>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</si>
  <si>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</si>
  <si>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</si>
  <si>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</si>
  <si>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</si>
  <si>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</si>
  <si>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</si>
  <si>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</si>
  <si>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</si>
  <si>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</si>
  <si>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</si>
  <si>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</si>
  <si>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</si>
  <si>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</si>
  <si>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</si>
  <si>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</si>
  <si>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</si>
  <si>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</si>
  <si>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</si>
  <si>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</si>
  <si>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</si>
  <si>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</si>
  <si>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</si>
  <si>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</si>
  <si>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</si>
  <si>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</si>
  <si>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</si>
  <si>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</si>
  <si>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</si>
  <si>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</si>
  <si>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</si>
  <si>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</si>
  <si>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</si>
  <si>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</si>
  <si>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</si>
  <si>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</si>
  <si>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</si>
  <si>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</si>
  <si>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</si>
  <si>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</si>
  <si>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</si>
  <si>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</si>
  <si>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</si>
  <si>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</si>
  <si>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</si>
  <si>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</si>
  <si>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</si>
  <si>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</si>
  <si>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</si>
  <si>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</si>
  <si>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</si>
  <si>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</si>
  <si>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</si>
  <si>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</si>
  <si>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</si>
  <si>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</si>
  <si>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</si>
  <si>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</si>
  <si>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</si>
  <si>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</si>
  <si>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</si>
  <si>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</si>
  <si>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</si>
  <si>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</si>
  <si>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</si>
  <si>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</si>
  <si>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</si>
  <si>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</si>
  <si>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</si>
  <si>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</si>
  <si>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</si>
  <si>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</si>
  <si>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</si>
  <si>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</si>
  <si>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</si>
  <si>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</si>
  <si>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</si>
  <si>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</si>
  <si>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</si>
  <si>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</si>
  <si>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</si>
  <si>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</si>
  <si>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</si>
  <si>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</si>
  <si>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</si>
  <si>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</si>
  <si>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</si>
  <si>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</si>
  <si>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</si>
  <si>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</si>
  <si>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</si>
  <si>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</si>
  <si>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</si>
  <si>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</si>
  <si>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</si>
  <si>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</si>
  <si>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</si>
  <si>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</si>
  <si>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</si>
  <si>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</si>
  <si>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</si>
  <si>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</si>
  <si>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</si>
  <si>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</si>
  <si>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</si>
  <si>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</si>
  <si>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</si>
  <si>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</si>
  <si>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</si>
  <si>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</si>
  <si>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</si>
  <si>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</si>
  <si>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</si>
  <si>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</si>
  <si>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</si>
  <si>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</si>
  <si>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</si>
  <si>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</si>
  <si>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</si>
  <si>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</si>
  <si>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</si>
  <si>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</si>
  <si>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</si>
  <si>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</si>
  <si>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</si>
  <si>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</si>
  <si>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</si>
  <si>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</si>
  <si>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</si>
  <si>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</si>
  <si>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</si>
  <si>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</si>
  <si>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</si>
  <si>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</si>
  <si>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</si>
  <si>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</si>
  <si>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</si>
  <si>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</si>
  <si>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</si>
  <si>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</si>
  <si>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</si>
  <si>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</si>
  <si>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</si>
  <si>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</si>
  <si>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</si>
  <si>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</si>
  <si>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</si>
  <si>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</si>
  <si>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</si>
  <si>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</si>
  <si>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</si>
  <si>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</si>
  <si>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</si>
  <si>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</si>
  <si>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</si>
  <si>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</si>
  <si>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</si>
  <si>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</si>
  <si>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</si>
  <si>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</si>
  <si>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</si>
  <si>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</si>
  <si>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</si>
  <si>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</si>
  <si>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</si>
  <si>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</si>
  <si>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</si>
  <si>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</si>
  <si>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</si>
  <si>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</si>
  <si>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</si>
  <si>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</si>
  <si>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</si>
  <si>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</si>
  <si>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</si>
  <si>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</si>
  <si>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</si>
  <si>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</si>
  <si>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</si>
  <si>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</si>
  <si>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</si>
  <si>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</si>
  <si>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</si>
  <si>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</si>
  <si>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</si>
  <si>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</si>
  <si>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</si>
  <si>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</si>
  <si>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</si>
  <si>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</si>
  <si>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</si>
  <si>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</si>
  <si>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</si>
  <si>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</si>
  <si>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</si>
  <si>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</si>
  <si>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</si>
  <si>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</si>
  <si>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</si>
  <si>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</si>
  <si>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</si>
  <si>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</si>
  <si>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</si>
  <si>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</si>
  <si>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</si>
  <si>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</si>
  <si>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</si>
  <si>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</si>
  <si>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</si>
  <si>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</si>
  <si>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</si>
  <si>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</si>
  <si>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</si>
  <si>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</si>
  <si>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</si>
  <si>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</si>
  <si>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</si>
  <si>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</si>
  <si>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</si>
  <si>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</si>
  <si>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</si>
  <si>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</si>
  <si>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</si>
  <si>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</si>
  <si>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</si>
  <si>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</si>
  <si>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</si>
  <si>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</si>
  <si>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</si>
  <si>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</si>
  <si>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</si>
  <si>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</si>
  <si>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</si>
  <si>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</si>
  <si>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</si>
  <si>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</si>
  <si>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</si>
  <si>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</si>
  <si>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</si>
  <si>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</si>
  <si>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</si>
  <si>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</si>
  <si>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</si>
  <si>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</si>
  <si>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</si>
  <si>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</si>
  <si>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</si>
  <si>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</si>
  <si>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</si>
  <si>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</si>
  <si>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</si>
  <si>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</si>
  <si>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</si>
  <si>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</si>
  <si>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</si>
  <si>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</si>
  <si>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</si>
  <si>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</si>
  <si>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</si>
  <si>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</si>
  <si>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</si>
  <si>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</si>
  <si>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</si>
  <si>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</si>
  <si>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</si>
  <si>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</si>
  <si>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</si>
  <si>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</si>
  <si>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</si>
  <si>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</si>
  <si>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</si>
  <si>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</si>
  <si>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</si>
  <si>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</si>
  <si>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</si>
  <si>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</si>
  <si>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</si>
  <si>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</si>
  <si>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</si>
  <si>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</si>
  <si>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</si>
  <si>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</si>
  <si>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</si>
  <si>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</si>
  <si>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</si>
  <si>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</si>
  <si>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</si>
  <si>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</si>
  <si>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</si>
  <si>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</si>
  <si>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</si>
  <si>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</si>
  <si>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</si>
  <si>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</si>
  <si>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</si>
  <si>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</si>
  <si>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</si>
  <si>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</si>
  <si>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</si>
  <si>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</si>
  <si>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</si>
  <si>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</si>
  <si>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</si>
  <si>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</si>
  <si>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</si>
  <si>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</si>
  <si>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</si>
  <si>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</si>
  <si>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</si>
  <si>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</si>
  <si>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</si>
  <si>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</si>
  <si>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</si>
  <si>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</si>
  <si>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</si>
  <si>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</si>
  <si>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</si>
  <si>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</si>
  <si>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</si>
  <si>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</si>
  <si>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</si>
  <si>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</si>
  <si>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</si>
  <si>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</si>
  <si>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</si>
  <si>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</si>
  <si>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</si>
  <si>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</si>
  <si>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</si>
  <si>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</si>
  <si>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</si>
  <si>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</si>
  <si>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</si>
  <si>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</si>
  <si>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</si>
  <si>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</si>
  <si>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</si>
  <si>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</si>
  <si>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</si>
  <si>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</si>
  <si>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</si>
  <si>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</si>
  <si>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</si>
  <si>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</si>
  <si>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</si>
  <si>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</si>
  <si>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</si>
  <si>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</si>
  <si>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</si>
  <si>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</si>
  <si>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</si>
  <si>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</si>
  <si>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</si>
  <si>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</si>
  <si>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</si>
  <si>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</si>
  <si>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</si>
  <si>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</si>
  <si>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</si>
  <si>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</si>
  <si>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</si>
  <si>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</si>
  <si>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</si>
  <si>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</si>
  <si>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</si>
  <si>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</si>
  <si>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</si>
  <si>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</si>
  <si>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</si>
  <si>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</si>
  <si>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</si>
  <si>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</si>
  <si>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</si>
  <si>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</si>
  <si>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</si>
  <si>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</si>
  <si>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</si>
  <si>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</si>
  <si>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</si>
  <si>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</si>
  <si>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</si>
  <si>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</si>
  <si>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</si>
  <si>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</si>
  <si>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</si>
  <si>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</si>
  <si>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</si>
  <si>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</si>
  <si>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</si>
  <si>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</si>
  <si>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</si>
  <si>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</si>
  <si>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</si>
  <si>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</si>
  <si>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</si>
  <si>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</si>
  <si>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</si>
  <si>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</si>
  <si>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</si>
  <si>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</si>
  <si>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</si>
  <si>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</si>
  <si>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</si>
  <si>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</si>
  <si>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</si>
  <si>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</si>
  <si>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</si>
  <si>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</si>
  <si>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</si>
  <si>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</si>
  <si>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</si>
  <si>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</si>
  <si>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</si>
  <si>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</si>
  <si>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</si>
  <si>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</si>
  <si>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</si>
  <si>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</si>
  <si>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</si>
  <si>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</si>
  <si>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</si>
  <si>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</si>
  <si>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</si>
  <si>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</si>
  <si>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</si>
  <si>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</si>
  <si>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</si>
  <si>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</si>
  <si>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</si>
  <si>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</si>
  <si>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</si>
  <si>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</si>
  <si>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</si>
  <si>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</si>
  <si>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</si>
  <si>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</si>
  <si>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</si>
  <si>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</si>
  <si>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</si>
  <si>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</si>
  <si>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</si>
  <si>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</si>
  <si>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</si>
  <si>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</si>
  <si>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</si>
  <si>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</si>
  <si>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</si>
  <si>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</si>
  <si>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</si>
  <si>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</si>
  <si>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</si>
  <si>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</si>
  <si>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</si>
  <si>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</si>
  <si>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</si>
  <si>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</si>
  <si>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</si>
  <si>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</si>
  <si>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</si>
  <si>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</si>
  <si>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</si>
  <si>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</si>
  <si>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</si>
  <si>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</si>
  <si>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</si>
  <si>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</si>
  <si>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</si>
  <si>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</si>
  <si>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</si>
  <si>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</si>
  <si>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</si>
  <si>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</si>
  <si>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</si>
  <si>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</si>
  <si>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</si>
  <si>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</si>
  <si>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</si>
  <si>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</si>
  <si>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</si>
  <si>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</si>
  <si>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</si>
  <si>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</si>
  <si>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</si>
  <si>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</si>
  <si>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</si>
  <si>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</si>
  <si>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</si>
  <si>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</si>
  <si>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</si>
  <si>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</si>
  <si>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</si>
  <si>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</si>
  <si>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</si>
  <si>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</si>
  <si>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</si>
  <si>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</si>
  <si>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</si>
  <si>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</si>
  <si>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</si>
  <si>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</si>
  <si>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</si>
  <si>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</si>
  <si>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</si>
  <si>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</si>
  <si>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</si>
  <si>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</si>
  <si>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</si>
  <si>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</si>
  <si>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</si>
  <si>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</si>
  <si>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</si>
  <si>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</si>
  <si>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</si>
  <si>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</si>
  <si>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</si>
  <si>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</si>
  <si>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</si>
  <si>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</si>
  <si>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</si>
  <si>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</si>
  <si>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</si>
  <si>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</si>
  <si>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</si>
  <si>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</si>
  <si>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</si>
  <si>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</si>
  <si>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</si>
  <si>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</si>
  <si>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</si>
  <si>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</si>
  <si>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</si>
  <si>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</si>
  <si>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</si>
  <si>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</si>
  <si>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</si>
  <si>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</si>
  <si>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</si>
  <si>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</si>
  <si>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</si>
  <si>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</si>
  <si>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</si>
  <si>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</si>
  <si>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</si>
  <si>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</si>
  <si>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</si>
  <si>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</si>
  <si>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</si>
  <si>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</si>
  <si>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</si>
  <si>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</si>
  <si>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</si>
  <si>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</si>
  <si>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</si>
  <si>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</si>
  <si>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</si>
  <si>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</si>
  <si>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</si>
  <si>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</si>
  <si>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</si>
  <si>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</si>
  <si>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</si>
  <si>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</si>
  <si>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</si>
  <si>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</si>
  <si>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</si>
  <si>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</si>
  <si>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</si>
  <si>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</si>
  <si>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</si>
  <si>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</si>
  <si>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</si>
  <si>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</si>
  <si>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</si>
  <si>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</si>
  <si>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</si>
  <si>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</si>
  <si>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</si>
  <si>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</si>
  <si>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</si>
  <si>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</si>
  <si>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</si>
  <si>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</si>
  <si>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</si>
  <si>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</si>
  <si>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</si>
  <si>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</si>
  <si>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</si>
  <si>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</si>
  <si>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</si>
  <si>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</si>
  <si>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</si>
  <si>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</si>
  <si>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</si>
  <si>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</si>
  <si>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</si>
  <si>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</si>
  <si>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</si>
  <si>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</si>
  <si>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</si>
  <si>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</si>
  <si>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</si>
  <si>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</si>
  <si>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</si>
  <si>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</si>
  <si>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</si>
  <si>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</si>
  <si>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</si>
  <si>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</si>
  <si>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</si>
  <si>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</si>
  <si>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</si>
  <si>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</si>
  <si>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</si>
  <si>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</si>
  <si>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</si>
  <si>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</si>
  <si>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</si>
  <si>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</si>
  <si>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</si>
  <si>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</si>
  <si>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</si>
  <si>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</si>
  <si>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</si>
  <si>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</si>
  <si>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</si>
  <si>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</si>
  <si>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</si>
  <si>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</si>
  <si>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</si>
  <si>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</si>
  <si>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</si>
  <si>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</si>
  <si>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</si>
  <si>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</si>
  <si>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</si>
  <si>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</si>
  <si>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</si>
  <si>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</si>
  <si>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</si>
  <si>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</si>
  <si>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</si>
  <si>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</si>
  <si>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</si>
  <si>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</si>
  <si>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</si>
  <si>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</si>
  <si>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</si>
  <si>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</si>
  <si>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</si>
  <si>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</si>
  <si>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</si>
  <si>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</si>
  <si>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</si>
  <si>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</si>
  <si>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</si>
  <si>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</si>
  <si>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</si>
  <si>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</si>
  <si>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</si>
  <si>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</si>
  <si>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</si>
  <si>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</si>
  <si>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</si>
  <si>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</si>
  <si>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</si>
  <si>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</si>
  <si>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</si>
  <si>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</si>
  <si>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</si>
  <si>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</si>
  <si>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</si>
  <si>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</si>
  <si>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</si>
  <si>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</si>
  <si>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</si>
  <si>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</si>
  <si>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</si>
  <si>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</si>
  <si>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</si>
  <si>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</si>
  <si>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</si>
  <si>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</si>
  <si>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</si>
  <si>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</si>
  <si>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</si>
  <si>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</si>
  <si>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</si>
  <si>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</si>
  <si>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</si>
  <si>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</si>
  <si>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</si>
  <si>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</si>
  <si>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</si>
  <si>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</si>
  <si>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</si>
  <si>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</si>
  <si>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</si>
  <si>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</si>
  <si>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</si>
  <si>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</si>
  <si>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</si>
  <si>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</si>
  <si>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</si>
  <si>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</si>
  <si>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</si>
  <si>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</si>
  <si>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</si>
  <si>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</si>
  <si>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</si>
  <si>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</si>
  <si>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</si>
  <si>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</si>
  <si>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</si>
  <si>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</si>
  <si>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</si>
  <si>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</si>
  <si>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</si>
  <si>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</si>
  <si>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</si>
  <si>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</si>
  <si>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</si>
  <si>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</si>
  <si>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</si>
  <si>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</si>
  <si>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</si>
  <si>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</si>
  <si>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</si>
  <si>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</si>
  <si>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</si>
  <si>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</si>
  <si>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</si>
  <si>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</si>
  <si>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</si>
  <si>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</si>
  <si>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</si>
  <si>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</si>
  <si>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</si>
  <si>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</si>
  <si>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</si>
  <si>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</si>
  <si>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</si>
  <si>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</si>
  <si>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</si>
  <si>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</si>
  <si>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</si>
  <si>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</si>
  <si>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</si>
  <si>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</si>
  <si>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</si>
  <si>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</si>
  <si>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</si>
  <si>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</si>
  <si>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</si>
  <si>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</si>
  <si>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</si>
  <si>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</si>
  <si>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</si>
  <si>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</si>
  <si>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</si>
  <si>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</si>
  <si>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</si>
  <si>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</si>
  <si>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</si>
  <si>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</si>
  <si>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</si>
  <si>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</si>
  <si>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</si>
  <si>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</si>
  <si>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</si>
  <si>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</si>
  <si>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</si>
  <si>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</si>
  <si>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</si>
  <si>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</si>
  <si>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</si>
  <si>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</si>
  <si>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</si>
  <si>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</si>
  <si>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</si>
  <si>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</si>
  <si>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</si>
  <si>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</si>
  <si>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</si>
  <si>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</si>
  <si>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</si>
  <si>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</si>
  <si>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</si>
  <si>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</si>
  <si>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</si>
  <si>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</si>
  <si>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</si>
  <si>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</si>
  <si>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</si>
  <si>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</si>
  <si>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</si>
  <si>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</si>
  <si>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</si>
  <si>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</si>
  <si>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</si>
  <si>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</si>
  <si>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</si>
  <si>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</si>
  <si>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</si>
  <si>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</si>
  <si>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</si>
  <si>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</si>
  <si>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</si>
  <si>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</si>
  <si>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</si>
  <si>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</si>
  <si>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</si>
  <si>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</si>
  <si>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</si>
  <si>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</si>
  <si>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</si>
  <si>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</si>
  <si>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</si>
  <si>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</si>
  <si>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</si>
  <si>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</si>
  <si>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</si>
  <si>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</si>
  <si>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</si>
  <si>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</si>
  <si>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</si>
  <si>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</si>
  <si>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</si>
  <si>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</si>
  <si>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</si>
  <si>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</si>
  <si>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</si>
  <si>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</si>
  <si>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</si>
  <si>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</si>
  <si>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</si>
  <si>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</si>
  <si>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</si>
  <si>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</si>
  <si>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</si>
  <si>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</si>
  <si>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</si>
  <si>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</si>
  <si>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</si>
  <si>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</si>
  <si>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</si>
  <si>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</si>
  <si>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</si>
  <si>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</si>
  <si>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</si>
  <si>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</si>
  <si>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</si>
  <si>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</si>
  <si>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</si>
  <si>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</si>
  <si>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</si>
  <si>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</si>
  <si>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</si>
  <si>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</si>
  <si>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</si>
  <si>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</si>
  <si>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</si>
  <si>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</si>
  <si>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</si>
  <si>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</si>
  <si>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</si>
  <si>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</si>
  <si>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</si>
  <si>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</si>
  <si>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</si>
  <si>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</si>
  <si>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</si>
  <si>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</si>
  <si>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</si>
  <si>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</si>
  <si>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</si>
  <si>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</si>
  <si>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</si>
  <si>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</si>
  <si>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</si>
  <si>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</si>
  <si>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</si>
  <si>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</si>
  <si>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</si>
  <si>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</si>
  <si>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</si>
  <si>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</si>
  <si>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</si>
  <si>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</si>
  <si>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</si>
  <si>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</si>
  <si>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</si>
  <si>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</si>
  <si>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</si>
  <si>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</si>
  <si>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</si>
  <si>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</si>
  <si>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</si>
  <si>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</si>
  <si>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</si>
  <si>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</si>
  <si>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</si>
  <si>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</si>
  <si>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</si>
  <si>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</si>
  <si>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</si>
  <si>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</si>
  <si>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</si>
  <si>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</si>
  <si>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</si>
  <si>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</si>
  <si>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</si>
  <si>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</si>
  <si>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</si>
  <si>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</si>
  <si>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</si>
  <si>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</si>
  <si>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</si>
  <si>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</si>
  <si>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</si>
  <si>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</si>
  <si>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</si>
  <si>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</si>
  <si>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</si>
  <si>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</si>
  <si>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</si>
  <si>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</si>
  <si>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</si>
  <si>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</si>
  <si>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</si>
  <si>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</si>
  <si>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</si>
  <si>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</si>
  <si>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</si>
  <si>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</si>
  <si>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</si>
  <si>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</si>
  <si>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</si>
  <si>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</si>
  <si>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</si>
  <si>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</si>
  <si>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</si>
  <si>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</si>
  <si>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</si>
  <si>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</si>
  <si>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</si>
  <si>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</si>
  <si>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</si>
  <si>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</si>
  <si>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</si>
  <si>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</si>
  <si>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</si>
  <si>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</si>
  <si>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</si>
  <si>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</si>
  <si>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</si>
  <si>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</si>
  <si>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</si>
  <si>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</si>
  <si>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</si>
  <si>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</si>
  <si>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</si>
  <si>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</si>
  <si>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</si>
  <si>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</si>
  <si>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</si>
  <si>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</si>
  <si>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</si>
  <si>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</si>
  <si>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</si>
  <si>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</si>
  <si>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</si>
  <si>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</si>
  <si>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</si>
  <si>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</si>
  <si>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</si>
  <si>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</si>
  <si>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</si>
  <si>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</si>
  <si>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</si>
  <si>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</si>
  <si>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</si>
  <si>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</si>
  <si>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</si>
  <si>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</si>
  <si>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</si>
  <si>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</si>
  <si>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</si>
  <si>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</si>
  <si>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</si>
  <si>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</si>
  <si>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</si>
  <si>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</si>
  <si>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</si>
  <si>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</si>
  <si>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</si>
  <si>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</si>
  <si>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</si>
  <si>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</si>
  <si>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</si>
  <si>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</si>
  <si>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</si>
  <si>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</si>
  <si>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</si>
  <si>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</si>
  <si>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</si>
  <si>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</si>
  <si>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</si>
  <si>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</si>
  <si>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</si>
  <si>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</si>
  <si>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</si>
  <si>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</si>
  <si>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</si>
  <si>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</si>
  <si>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</si>
  <si>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</si>
  <si>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</si>
  <si>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</si>
  <si>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</si>
  <si>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</si>
  <si>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</si>
  <si>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</si>
  <si>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</si>
  <si>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</si>
  <si>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</si>
  <si>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</si>
  <si>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</si>
  <si>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</si>
  <si>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</si>
  <si>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</si>
  <si>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</si>
  <si>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</si>
  <si>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</si>
  <si>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</si>
  <si>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</si>
  <si>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</si>
  <si>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</si>
  <si>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</si>
  <si>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</si>
  <si>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</si>
  <si>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</si>
  <si>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</si>
  <si>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</si>
  <si>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</si>
  <si>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</si>
  <si>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</si>
  <si>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</si>
  <si>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</si>
  <si>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</si>
  <si>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</si>
  <si>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</si>
  <si>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</si>
  <si>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</si>
  <si>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</si>
  <si>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</si>
  <si>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</si>
  <si>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</si>
  <si>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</si>
  <si>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</si>
  <si>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</si>
  <si>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</si>
  <si>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</si>
  <si>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</si>
  <si>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</si>
  <si>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</si>
  <si>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</si>
  <si>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</si>
  <si>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</si>
  <si>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</si>
  <si>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</si>
  <si>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</si>
  <si>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</si>
  <si>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</si>
  <si>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</si>
  <si>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</si>
  <si>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</si>
  <si>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</si>
  <si>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</si>
  <si>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</si>
  <si>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</si>
  <si>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</si>
  <si>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</si>
  <si>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</si>
  <si>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</si>
  <si>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</si>
  <si>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</si>
  <si>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</si>
  <si>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</si>
  <si>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</si>
  <si>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</si>
  <si>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</si>
  <si>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</si>
  <si>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</si>
  <si>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</si>
  <si>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</si>
  <si>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</si>
  <si>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</si>
  <si>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</si>
  <si>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</si>
  <si>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</si>
  <si>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</si>
  <si>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</si>
  <si>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</si>
  <si>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</si>
  <si>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</si>
  <si>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</si>
  <si>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</si>
  <si>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</si>
  <si>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</si>
  <si>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</si>
  <si>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</si>
  <si>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</si>
  <si>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</si>
  <si>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</si>
  <si>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</si>
  <si>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</si>
  <si>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</si>
  <si>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</si>
  <si>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</si>
  <si>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</si>
  <si>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</si>
  <si>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</si>
  <si>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</si>
  <si>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</si>
  <si>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</si>
  <si>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</si>
  <si>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</si>
  <si>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</si>
  <si>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</si>
  <si>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</si>
  <si>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</si>
  <si>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</si>
  <si>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</si>
  <si>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</si>
  <si>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</si>
  <si>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</si>
  <si>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</si>
  <si>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</si>
  <si>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</si>
  <si>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</si>
  <si>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</si>
  <si>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</si>
  <si>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</si>
  <si>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</si>
  <si>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</si>
  <si>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</si>
  <si>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</si>
  <si>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</si>
  <si>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</si>
  <si>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</si>
  <si>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</si>
  <si>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</si>
  <si>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</si>
  <si>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</si>
  <si>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</si>
  <si>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</si>
  <si>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</si>
  <si>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</si>
  <si>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</si>
  <si>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</si>
  <si>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</si>
  <si>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</si>
  <si>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</si>
  <si>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</si>
  <si>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</si>
  <si>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</si>
  <si>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</si>
  <si>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</si>
  <si>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</si>
  <si>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</si>
  <si>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</si>
  <si>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</si>
  <si>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</si>
  <si>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</si>
  <si>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</si>
  <si>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</si>
  <si>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</si>
  <si>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</si>
  <si>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</si>
  <si>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</si>
  <si>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</si>
  <si>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</si>
  <si>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</si>
  <si>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</si>
  <si>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</si>
  <si>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</si>
  <si>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</si>
  <si>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</si>
  <si>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</si>
  <si>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</si>
  <si>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</si>
  <si>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</si>
  <si>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</si>
  <si>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</si>
  <si>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</si>
  <si>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</si>
  <si>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</si>
  <si>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</si>
  <si>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</si>
  <si>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</si>
  <si>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</si>
  <si>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</si>
  <si>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</si>
  <si>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</si>
  <si>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</si>
  <si>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</si>
  <si>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</si>
  <si>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</si>
  <si>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</si>
  <si>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</si>
  <si>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</si>
  <si>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</si>
  <si>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</si>
  <si>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</si>
  <si>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</si>
  <si>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</si>
  <si>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</si>
  <si>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</si>
  <si>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</si>
  <si>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</si>
  <si>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</si>
  <si>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</si>
  <si>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</si>
  <si>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</si>
  <si>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</si>
  <si>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</si>
  <si>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</si>
  <si>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</si>
  <si>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</si>
  <si>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</si>
  <si>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</si>
  <si>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</si>
  <si>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</si>
  <si>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</si>
  <si>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</si>
  <si>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</si>
  <si>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</si>
  <si>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</si>
  <si>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</si>
  <si>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</si>
  <si>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</si>
  <si>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</si>
  <si>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</si>
  <si>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</si>
  <si>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</si>
  <si>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</si>
  <si>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</si>
  <si>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</si>
  <si>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</si>
  <si>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</si>
  <si>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</si>
  <si>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</si>
  <si>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</si>
  <si>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</si>
  <si>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</si>
  <si>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</si>
  <si>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</si>
  <si>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</si>
  <si>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</si>
  <si>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</si>
  <si>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</si>
  <si>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</si>
  <si>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</si>
  <si>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</si>
  <si>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</si>
  <si>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</si>
  <si>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</si>
  <si>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</si>
  <si>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</si>
  <si>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</si>
  <si>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</si>
  <si>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</si>
  <si>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</si>
  <si>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</si>
  <si>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</si>
  <si>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</si>
  <si>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</si>
  <si>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</si>
  <si>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</si>
  <si>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</si>
  <si>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</si>
  <si>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</si>
  <si>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</si>
  <si>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</si>
  <si>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</si>
  <si>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</si>
  <si>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</si>
  <si>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</si>
  <si>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</si>
  <si>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</si>
  <si>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</si>
  <si>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</si>
  <si>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</si>
  <si>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</si>
  <si>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</si>
  <si>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</si>
  <si>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</si>
  <si>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</si>
  <si>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</si>
  <si>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</si>
  <si>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</si>
  <si>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</si>
  <si>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</si>
  <si>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</si>
  <si>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</si>
  <si>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</si>
  <si>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</si>
  <si>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</si>
  <si>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</si>
  <si>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</si>
  <si>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</si>
  <si>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</si>
  <si>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</si>
  <si>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</si>
  <si>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</si>
  <si>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</si>
  <si>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</si>
  <si>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</si>
  <si>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</si>
  <si>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</si>
  <si>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</si>
  <si>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</si>
  <si>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</si>
  <si>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</si>
  <si>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</si>
  <si>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</si>
  <si>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</si>
  <si>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</si>
  <si>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</si>
  <si>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</si>
  <si>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</si>
  <si>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</si>
  <si>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</si>
  <si>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</si>
  <si>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</si>
  <si>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</si>
  <si>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</si>
  <si>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</si>
  <si>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</si>
  <si>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</si>
  <si>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</si>
  <si>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</si>
  <si>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</si>
  <si>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</si>
  <si>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</si>
  <si>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</si>
  <si>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</si>
  <si>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</si>
  <si>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</si>
  <si>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</si>
  <si>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</si>
  <si>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</si>
  <si>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</si>
  <si>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</si>
  <si>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</si>
  <si>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</si>
  <si>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</si>
  <si>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</si>
  <si>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</si>
  <si>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</si>
  <si>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</si>
  <si>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</si>
  <si>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</si>
  <si>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</si>
  <si>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</si>
  <si>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</si>
  <si>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</si>
  <si>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</si>
  <si>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</si>
  <si>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</si>
  <si>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</si>
  <si>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</si>
  <si>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</si>
  <si>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</si>
  <si>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</si>
  <si>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</si>
  <si>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</si>
  <si>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</si>
  <si>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</si>
  <si>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</si>
  <si>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</si>
  <si>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</si>
  <si>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</si>
  <si>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</si>
  <si>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</si>
  <si>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</si>
  <si>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</si>
  <si>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</si>
  <si>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</si>
  <si>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</si>
  <si>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</si>
  <si>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</si>
  <si>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</si>
  <si>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</si>
  <si>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</si>
  <si>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</si>
  <si>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</si>
  <si>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</si>
  <si>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</si>
  <si>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</si>
  <si>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</si>
  <si>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</si>
  <si>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</si>
  <si>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</si>
  <si>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</si>
  <si>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</si>
  <si>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</si>
  <si>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</si>
  <si>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</si>
  <si>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</si>
  <si>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</si>
  <si>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</si>
  <si>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</si>
  <si>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</si>
  <si>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</si>
  <si>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</si>
  <si>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</si>
  <si>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</si>
  <si>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</si>
  <si>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</si>
  <si>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</si>
  <si>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</si>
  <si>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</si>
  <si>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</si>
  <si>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</si>
  <si>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</si>
  <si>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</si>
  <si>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</si>
  <si>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</si>
  <si>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</si>
  <si>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</si>
  <si>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</si>
  <si>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</si>
  <si>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</si>
  <si>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</si>
  <si>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</si>
  <si>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</si>
  <si>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</si>
  <si>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</si>
  <si>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</si>
  <si>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</si>
  <si>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</si>
  <si>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</si>
  <si>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</si>
  <si>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</si>
  <si>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</si>
  <si>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</si>
  <si>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</si>
  <si>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</si>
  <si>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</si>
  <si>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</si>
  <si>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</si>
  <si>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</si>
  <si>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</si>
  <si>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</si>
  <si>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</si>
  <si>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</si>
  <si>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</si>
  <si>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</si>
  <si>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</si>
  <si>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</si>
  <si>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</si>
  <si>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</si>
  <si>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</si>
  <si>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</si>
  <si>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</si>
  <si>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</si>
  <si>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</si>
  <si>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</si>
  <si>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</si>
  <si>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</si>
  <si>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</si>
  <si>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</si>
  <si>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</si>
  <si>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</si>
  <si>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</si>
  <si>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</si>
  <si>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</si>
  <si>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</si>
  <si>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</si>
  <si>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</si>
  <si>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</si>
  <si>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</si>
  <si>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</si>
  <si>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</si>
  <si>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</si>
  <si>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</si>
  <si>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</si>
  <si>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</si>
  <si>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</si>
  <si>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</si>
  <si>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</si>
  <si>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</si>
  <si>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</si>
  <si>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</si>
  <si>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</si>
  <si>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</si>
  <si>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</si>
  <si>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</si>
  <si>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</si>
  <si>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</si>
  <si>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</si>
  <si>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</si>
  <si>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</si>
  <si>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</si>
  <si>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</si>
  <si>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</si>
  <si>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</si>
  <si>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</si>
  <si>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</si>
  <si>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</si>
  <si>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</si>
  <si>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</si>
  <si>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</si>
  <si>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</si>
  <si>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</si>
  <si>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</si>
  <si>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</si>
  <si>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</si>
  <si>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</si>
  <si>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</si>
  <si>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</si>
  <si>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</si>
  <si>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</si>
  <si>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</si>
  <si>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</si>
  <si>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</si>
  <si>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</si>
  <si>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</si>
  <si>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</si>
  <si>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</si>
  <si>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</si>
  <si>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</si>
  <si>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</si>
  <si>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</si>
  <si>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</si>
  <si>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</si>
  <si>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</si>
  <si>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</si>
  <si>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</si>
  <si>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</si>
  <si>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</si>
  <si>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</si>
  <si>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</si>
  <si>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</si>
  <si>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</si>
  <si>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</si>
  <si>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</si>
  <si>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</si>
  <si>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</si>
  <si>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</si>
  <si>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</si>
  <si>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</si>
  <si>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</si>
  <si>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</si>
  <si>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</si>
  <si>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</si>
  <si>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</si>
  <si>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</si>
  <si>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</si>
  <si>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</si>
  <si>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</si>
  <si>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</si>
  <si>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</si>
  <si>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</si>
  <si>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</si>
  <si>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</si>
  <si>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</si>
  <si>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</si>
  <si>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</si>
  <si>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</si>
  <si>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</si>
  <si>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</si>
  <si>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</si>
  <si>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</si>
  <si>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</si>
  <si>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</si>
  <si>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</si>
  <si>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</si>
  <si>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</si>
  <si>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</si>
  <si>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</si>
  <si>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</si>
  <si>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</si>
  <si>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</si>
  <si>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</si>
  <si>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</si>
  <si>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</si>
  <si>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</si>
  <si>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</si>
  <si>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</si>
  <si>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</si>
  <si>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</si>
  <si>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</si>
  <si>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</si>
  <si>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</si>
  <si>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</si>
  <si>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</si>
  <si>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</si>
  <si>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</si>
  <si>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</si>
  <si>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</si>
  <si>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</si>
  <si>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</si>
  <si>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</si>
  <si>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</si>
  <si>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</si>
  <si>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</si>
  <si>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</si>
  <si>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</si>
  <si>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</si>
  <si>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</si>
  <si>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</si>
  <si>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</si>
  <si>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</si>
  <si>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</si>
  <si>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</si>
  <si>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</si>
  <si>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</si>
  <si>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</si>
  <si>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</si>
  <si>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</si>
  <si>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</si>
  <si>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</si>
  <si>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</si>
  <si>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</si>
  <si>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</si>
  <si>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</si>
  <si>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</si>
  <si>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</si>
  <si>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</si>
  <si>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</si>
  <si>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</si>
  <si>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</si>
  <si>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</si>
  <si>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</si>
  <si>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</si>
  <si>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</si>
  <si>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</si>
  <si>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</si>
  <si>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</si>
  <si>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</si>
  <si>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</si>
  <si>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</si>
  <si>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</si>
  <si>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</si>
  <si>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</si>
  <si>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</si>
  <si>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</si>
  <si>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</si>
  <si>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</si>
  <si>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</si>
  <si>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</si>
  <si>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</si>
  <si>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</si>
  <si>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</si>
  <si>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</si>
  <si>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</si>
  <si>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</si>
  <si>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</si>
  <si>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</si>
  <si>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</si>
  <si>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</si>
  <si>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</si>
  <si>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</si>
  <si>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</si>
  <si>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</si>
  <si>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</si>
  <si>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</si>
  <si>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</si>
  <si>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</si>
  <si>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</si>
  <si>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</si>
  <si>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</si>
  <si>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</si>
  <si>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</si>
  <si>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</si>
  <si>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</si>
  <si>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</si>
  <si>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</si>
  <si>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</si>
  <si>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</si>
  <si>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</si>
  <si>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</si>
  <si>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</si>
  <si>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</si>
  <si>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</si>
  <si>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</si>
  <si>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</si>
  <si>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</si>
  <si>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</si>
  <si>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</si>
  <si>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</si>
  <si>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</si>
  <si>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</si>
  <si>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</si>
  <si>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</si>
  <si>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</si>
  <si>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</si>
  <si>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</si>
  <si>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</si>
  <si>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</si>
  <si>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</si>
  <si>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</si>
  <si>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</si>
  <si>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</si>
  <si>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</si>
  <si>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</si>
  <si>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</si>
  <si>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</si>
  <si>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</si>
  <si>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</si>
  <si>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</si>
  <si>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</si>
  <si>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</si>
  <si>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</si>
  <si>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</si>
  <si>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</si>
  <si>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</si>
  <si>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</si>
  <si>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</si>
  <si>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</si>
  <si>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</si>
  <si>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</si>
  <si>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</si>
  <si>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</si>
  <si>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</si>
  <si>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</si>
  <si>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</si>
  <si>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</si>
  <si>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</si>
  <si>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</si>
  <si>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</si>
  <si>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</si>
  <si>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</si>
  <si>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</si>
  <si>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</si>
  <si>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</si>
  <si>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</si>
  <si>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</si>
  <si>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</si>
  <si>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</si>
  <si>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</si>
  <si>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</si>
  <si>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</si>
  <si>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</si>
  <si>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</si>
  <si>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</si>
  <si>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</si>
  <si>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</si>
  <si>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</si>
  <si>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</si>
  <si>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</si>
  <si>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</si>
  <si>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</si>
  <si>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</si>
  <si>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</si>
  <si>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</si>
  <si>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</si>
  <si>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</si>
  <si>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</si>
  <si>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</si>
  <si>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</si>
  <si>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</si>
  <si>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</si>
  <si>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</si>
  <si>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</si>
  <si>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</si>
  <si>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</si>
  <si>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</si>
  <si>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</si>
  <si>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</si>
  <si>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</si>
  <si>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</si>
  <si>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</si>
  <si>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</si>
  <si>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</si>
  <si>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</si>
  <si>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</si>
  <si>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</si>
  <si>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</si>
  <si>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</si>
  <si>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</si>
  <si>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</si>
  <si>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</si>
  <si>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</si>
  <si>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</si>
  <si>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</si>
  <si>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</si>
  <si>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</si>
  <si>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</si>
  <si>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</si>
  <si>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</si>
  <si>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</si>
  <si>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</si>
  <si>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</si>
  <si>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</si>
  <si>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</si>
  <si>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</si>
  <si>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</si>
  <si>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</si>
  <si>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</si>
  <si>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</si>
  <si>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</si>
  <si>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</si>
  <si>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</si>
  <si>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</si>
  <si>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</si>
  <si>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</si>
  <si>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</si>
  <si>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</si>
  <si>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</si>
  <si>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</si>
  <si>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</si>
  <si>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</si>
  <si>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</si>
  <si>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</si>
  <si>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</si>
  <si>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</si>
  <si>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</si>
  <si>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</si>
  <si>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</si>
  <si>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</si>
  <si>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</si>
  <si>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</si>
  <si>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</si>
  <si>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</si>
  <si>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</si>
  <si>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</si>
  <si>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</si>
  <si>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</si>
  <si>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</si>
  <si>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</si>
  <si>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</si>
  <si>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</si>
  <si>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</si>
  <si>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</si>
  <si>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</si>
  <si>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</si>
  <si>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</si>
  <si>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</si>
  <si>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</si>
  <si>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</si>
  <si>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</si>
  <si>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</si>
  <si>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</si>
  <si>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</si>
  <si>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</si>
  <si>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</si>
  <si>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</si>
  <si>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</si>
  <si>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</si>
  <si>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</si>
  <si>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</si>
  <si>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</si>
  <si>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</si>
  <si>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</si>
  <si>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</si>
  <si>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</si>
  <si>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</si>
  <si>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</si>
  <si>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</si>
  <si>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</si>
  <si>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</si>
  <si>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</si>
  <si>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</si>
  <si>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</si>
  <si>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</si>
  <si>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</si>
  <si>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</si>
  <si>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</si>
  <si>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</si>
  <si>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</si>
  <si>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</si>
  <si>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</si>
  <si>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</si>
  <si>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</si>
  <si>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</si>
  <si>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</si>
  <si>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</si>
  <si>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</si>
  <si>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</si>
  <si>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</si>
  <si>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</si>
  <si>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</si>
  <si>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</si>
  <si>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</si>
  <si>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</si>
  <si>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</si>
  <si>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</si>
  <si>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</si>
  <si>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</si>
  <si>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</si>
  <si>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</si>
  <si>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</si>
  <si>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</si>
  <si>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</si>
  <si>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</si>
  <si>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</si>
  <si>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</si>
  <si>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</si>
  <si>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</si>
  <si>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</si>
  <si>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</si>
  <si>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</si>
  <si>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</si>
  <si>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</si>
  <si>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</si>
  <si>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</si>
  <si>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</si>
  <si>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</si>
  <si>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</si>
  <si>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</si>
  <si>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</si>
  <si>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</si>
  <si>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</si>
  <si>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</si>
  <si>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</si>
  <si>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</si>
  <si>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</si>
  <si>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</si>
  <si>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</si>
  <si>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</si>
  <si>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</si>
  <si>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</si>
  <si>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</si>
  <si>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</si>
  <si>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</si>
  <si>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</si>
  <si>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</si>
  <si>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</si>
  <si>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</si>
  <si>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</si>
  <si>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</si>
  <si>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</si>
  <si>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</si>
  <si>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</si>
  <si>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</si>
  <si>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</si>
  <si>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</si>
  <si>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</si>
  <si>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</si>
  <si>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</si>
  <si>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</si>
  <si>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</si>
  <si>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</si>
  <si>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</si>
  <si>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</si>
  <si>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</si>
  <si>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</si>
  <si>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</si>
  <si>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</si>
  <si>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</si>
  <si>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</si>
  <si>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</si>
  <si>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</si>
  <si>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</si>
  <si>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</si>
  <si>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</si>
  <si>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</si>
  <si>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</si>
  <si>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</si>
  <si>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</si>
  <si>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</si>
  <si>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</si>
  <si>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</si>
  <si>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</si>
  <si>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</si>
  <si>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</si>
  <si>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</si>
  <si>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</si>
  <si>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</si>
  <si>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</si>
  <si>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</si>
  <si>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</si>
  <si>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</si>
  <si>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</si>
  <si>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</si>
  <si>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</si>
  <si>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</si>
  <si>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</si>
  <si>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</si>
  <si>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</si>
  <si>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</si>
  <si>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</si>
  <si>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</si>
  <si>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</si>
  <si>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</si>
  <si>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</si>
  <si>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</si>
  <si>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</si>
  <si>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</si>
  <si>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</si>
  <si>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</si>
  <si>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</si>
  <si>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</si>
  <si>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</si>
  <si>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</si>
  <si>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</si>
  <si>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</si>
  <si>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</si>
  <si>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</si>
  <si>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</si>
  <si>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</si>
  <si>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</si>
  <si>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</si>
  <si>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</si>
  <si>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</si>
  <si>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</si>
  <si>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</si>
  <si>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</si>
  <si>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</si>
  <si>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</si>
  <si>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</si>
  <si>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</si>
  <si>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</si>
  <si>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</si>
  <si>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</si>
  <si>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</si>
  <si>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</si>
  <si>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</si>
  <si>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</si>
  <si>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</si>
  <si>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</si>
  <si>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</si>
  <si>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</si>
  <si>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</si>
  <si>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</si>
  <si>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</si>
  <si>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</si>
  <si>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</si>
  <si>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</si>
  <si>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</si>
  <si>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</si>
  <si>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</si>
  <si>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</si>
  <si>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</si>
  <si>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</si>
  <si>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</si>
  <si>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</si>
  <si>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</si>
  <si>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</si>
  <si>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</si>
  <si>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</si>
  <si>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</si>
  <si>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</si>
  <si>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</si>
  <si>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</si>
  <si>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</si>
  <si>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</si>
  <si>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</si>
  <si>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</si>
  <si>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</si>
  <si>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</si>
  <si>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</si>
  <si>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</si>
  <si>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</si>
  <si>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</si>
  <si>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</si>
  <si>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</si>
  <si>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</si>
  <si>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</si>
  <si>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</si>
  <si>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</si>
  <si>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</si>
  <si>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</si>
  <si>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</si>
  <si>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</si>
  <si>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</si>
  <si>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</si>
  <si>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</si>
  <si>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</si>
  <si>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</si>
  <si>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</si>
  <si>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</si>
  <si>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</si>
  <si>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</si>
  <si>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</si>
  <si>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</si>
  <si>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</si>
  <si>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</si>
  <si>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</si>
  <si>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</si>
  <si>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</si>
  <si>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</si>
  <si>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</si>
  <si>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</si>
  <si>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</si>
  <si>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</si>
  <si>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</si>
  <si>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</si>
  <si>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</si>
  <si>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</si>
  <si>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</si>
  <si>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</si>
  <si>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</si>
  <si>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</si>
  <si>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</si>
  <si>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</si>
  <si>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</si>
  <si>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</si>
  <si>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</si>
  <si>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</si>
  <si>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</si>
  <si>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</si>
  <si>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</si>
  <si>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</si>
  <si>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</si>
  <si>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</si>
  <si>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</si>
  <si>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</si>
  <si>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</si>
  <si>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</si>
  <si>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</si>
  <si>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</si>
  <si>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</si>
  <si>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</si>
  <si>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</si>
  <si>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</si>
  <si>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</si>
  <si>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</si>
  <si>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</si>
  <si>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</si>
  <si>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</si>
  <si>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</si>
  <si>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</si>
  <si>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</si>
  <si>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</si>
  <si>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</si>
  <si>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</si>
  <si>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</si>
  <si>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</si>
  <si>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</si>
  <si>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</si>
  <si>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</si>
  <si>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</si>
  <si>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</si>
  <si>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</si>
  <si>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</si>
  <si>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</si>
  <si>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</si>
  <si>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</si>
  <si>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</si>
  <si>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</si>
  <si>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</si>
  <si>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</si>
  <si>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</si>
  <si>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</si>
  <si>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</si>
  <si>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</si>
  <si>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</si>
  <si>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</si>
  <si>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</si>
  <si>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</si>
  <si>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</si>
  <si>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</si>
  <si>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</si>
  <si>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</si>
  <si>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</si>
  <si>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</si>
  <si>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</si>
  <si>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</si>
  <si>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</si>
  <si>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</si>
  <si>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</si>
  <si>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</si>
  <si>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</si>
  <si>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</si>
  <si>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</si>
  <si>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</si>
  <si>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</si>
  <si>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</si>
  <si>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</si>
  <si>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</si>
  <si>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</si>
  <si>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</si>
  <si>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</si>
  <si>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</si>
  <si>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</si>
  <si>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</si>
  <si>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</si>
  <si>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</si>
  <si>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</si>
  <si>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</si>
  <si>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</si>
  <si>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</si>
  <si>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</si>
  <si>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</si>
  <si>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</si>
  <si>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</si>
  <si>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</si>
  <si>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</si>
  <si>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</si>
  <si>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</si>
  <si>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</si>
  <si>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</si>
  <si>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</si>
  <si>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</si>
  <si>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</si>
  <si>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</si>
  <si>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</si>
  <si>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</si>
  <si>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</si>
  <si>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</si>
  <si>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</si>
  <si>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</si>
  <si>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</si>
  <si>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</si>
  <si>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</si>
  <si>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</si>
  <si>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</si>
  <si>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</si>
  <si>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</si>
  <si>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</si>
  <si>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</si>
  <si>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</si>
  <si>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</si>
  <si>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</si>
  <si>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</si>
  <si>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</si>
  <si>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</si>
  <si>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</si>
  <si>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</si>
  <si>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</si>
  <si>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</si>
  <si>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</si>
  <si>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</si>
  <si>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</si>
  <si>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</si>
  <si>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</si>
  <si>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</si>
  <si>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</si>
  <si>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</si>
  <si>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</si>
  <si>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</si>
  <si>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</si>
  <si>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</si>
  <si>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</si>
  <si>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</si>
  <si>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</si>
  <si>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</si>
  <si>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</si>
  <si>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</si>
  <si>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</si>
  <si>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</si>
  <si>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</si>
  <si>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</si>
  <si>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</si>
  <si>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</si>
  <si>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</si>
  <si>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</si>
  <si>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</si>
  <si>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</si>
  <si>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</si>
  <si>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</si>
  <si>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</si>
  <si>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</si>
  <si>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</si>
  <si>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</si>
  <si>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</si>
  <si>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</si>
  <si>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</si>
  <si>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</si>
  <si>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</si>
  <si>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</si>
  <si>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</si>
  <si>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</si>
  <si>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</si>
  <si>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</si>
  <si>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</si>
  <si>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</si>
  <si>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</si>
  <si>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</si>
  <si>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</si>
  <si>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</si>
  <si>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</si>
  <si>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</si>
  <si>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</si>
  <si>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</si>
  <si>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</si>
  <si>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</si>
  <si>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</si>
  <si>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</si>
  <si>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</si>
  <si>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</si>
  <si>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</si>
  <si>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</si>
  <si>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</si>
  <si>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</si>
  <si>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</si>
  <si>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</si>
  <si>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</si>
  <si>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</si>
  <si>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</si>
  <si>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</si>
  <si>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</si>
  <si>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</si>
  <si>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</si>
  <si>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</si>
  <si>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</si>
  <si>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</si>
  <si>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</si>
  <si>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</si>
  <si>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</si>
  <si>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</si>
  <si>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</si>
  <si>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</si>
  <si>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</si>
  <si>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</si>
  <si>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</si>
  <si>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</si>
  <si>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</si>
  <si>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</si>
  <si>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</si>
  <si>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</si>
  <si>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</si>
  <si>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</si>
  <si>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</si>
  <si>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</si>
  <si>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</si>
  <si>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</si>
  <si>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</si>
  <si>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</si>
  <si>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</si>
  <si>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</si>
  <si>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</si>
  <si>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</si>
  <si>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</si>
  <si>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</si>
  <si>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</si>
  <si>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</si>
  <si>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</si>
  <si>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</si>
  <si>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</si>
  <si>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</si>
  <si>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</si>
  <si>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</si>
  <si>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</si>
  <si>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</si>
  <si>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</si>
  <si>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</si>
  <si>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</si>
  <si>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</si>
  <si>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</si>
  <si>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</si>
  <si>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</si>
  <si>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</si>
  <si>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</si>
  <si>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</si>
  <si>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</si>
  <si>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</si>
  <si>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</si>
  <si>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</si>
  <si>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</si>
  <si>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</si>
  <si>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</si>
  <si>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</si>
  <si>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</si>
  <si>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</si>
  <si>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</si>
  <si>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</si>
  <si>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</si>
  <si>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</si>
  <si>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</si>
  <si>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</si>
  <si>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</si>
  <si>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</si>
  <si>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</si>
  <si>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</si>
  <si>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</si>
  <si>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</si>
  <si>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</si>
  <si>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</si>
  <si>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</si>
  <si>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</si>
  <si>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</si>
  <si>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</si>
  <si>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</si>
  <si>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</si>
  <si>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</si>
  <si>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</si>
  <si>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</si>
  <si>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</si>
  <si>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</si>
  <si>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</si>
  <si>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</si>
  <si>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</si>
  <si>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</si>
  <si>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</si>
  <si>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</si>
  <si>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</si>
  <si>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</si>
  <si>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</si>
  <si>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</si>
  <si>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</si>
  <si>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</si>
  <si>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</si>
  <si>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</si>
  <si>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</si>
  <si>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</si>
  <si>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</si>
  <si>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</si>
  <si>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</si>
  <si>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</si>
  <si>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</si>
  <si>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</si>
  <si>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</si>
  <si>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</si>
  <si>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</si>
  <si>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</si>
  <si>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</si>
  <si>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</si>
  <si>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</si>
  <si>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</si>
  <si>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</si>
  <si>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</si>
  <si>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</si>
  <si>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</si>
  <si>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</si>
  <si>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</si>
  <si>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</si>
  <si>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</si>
  <si>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</si>
  <si>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</si>
  <si>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</si>
  <si>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</si>
  <si>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</si>
  <si>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</si>
  <si>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</si>
  <si>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</si>
  <si>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</si>
  <si>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</si>
  <si>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</si>
  <si>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</si>
  <si>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</si>
  <si>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</si>
  <si>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</si>
  <si>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</si>
  <si>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</si>
  <si>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</si>
  <si>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</si>
  <si>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</si>
  <si>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</si>
  <si>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</si>
  <si>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</si>
  <si>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</si>
  <si>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</si>
  <si>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</si>
  <si>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</si>
  <si>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</si>
  <si>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</si>
  <si>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</si>
  <si>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</si>
  <si>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</si>
  <si>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</si>
  <si>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</si>
  <si>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</si>
  <si>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</si>
  <si>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</si>
  <si>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</si>
  <si>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</si>
  <si>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</si>
  <si>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</si>
  <si>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</si>
  <si>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</si>
  <si>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</si>
  <si>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</si>
  <si>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</si>
  <si>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</si>
  <si>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</si>
  <si>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</si>
  <si>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</si>
  <si>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</si>
  <si>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</si>
  <si>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</si>
  <si>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</si>
  <si>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</si>
  <si>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</si>
  <si>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</si>
  <si>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</si>
  <si>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</si>
  <si>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</si>
  <si>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</si>
  <si>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</si>
  <si>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</si>
  <si>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</si>
  <si>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</si>
  <si>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</si>
  <si>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</si>
  <si>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</si>
  <si>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</si>
  <si>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</si>
  <si>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</si>
  <si>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</si>
  <si>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</si>
  <si>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</si>
  <si>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</si>
  <si>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</si>
  <si>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</si>
  <si>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</si>
  <si>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</si>
  <si>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</si>
  <si>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</si>
  <si>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</si>
  <si>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</si>
  <si>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</si>
  <si>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</si>
  <si>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</si>
  <si>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</si>
  <si>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</si>
  <si>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</si>
  <si>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</si>
  <si>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</si>
  <si>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</si>
  <si>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</si>
  <si>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</si>
  <si>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</si>
  <si>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</si>
  <si>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</si>
  <si>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</si>
  <si>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</si>
  <si>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</si>
  <si>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</si>
  <si>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</si>
  <si>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</si>
  <si>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</si>
  <si>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</si>
  <si>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</si>
  <si>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</si>
  <si>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</si>
  <si>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</si>
  <si>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</si>
  <si>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</si>
  <si>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</si>
  <si>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</si>
  <si>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</si>
  <si>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</si>
  <si>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</si>
  <si>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</si>
  <si>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</si>
  <si>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</si>
  <si>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</si>
  <si>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</si>
  <si>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</si>
  <si>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</si>
  <si>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</si>
  <si>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</si>
  <si>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</si>
  <si>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</si>
  <si>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</si>
  <si>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</si>
  <si>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</si>
  <si>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</si>
  <si>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</si>
  <si>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</si>
  <si>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</si>
  <si>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</si>
  <si>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</si>
  <si>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</si>
  <si>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</si>
  <si>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</si>
  <si>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</si>
  <si>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</si>
  <si>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</si>
  <si>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</si>
  <si>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</si>
  <si>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</si>
  <si>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</si>
  <si>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</si>
  <si>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</si>
  <si>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</si>
  <si>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</si>
  <si>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</si>
  <si>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</si>
  <si>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</si>
  <si>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</si>
  <si>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</si>
  <si>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</si>
  <si>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</si>
  <si>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</si>
  <si>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</si>
  <si>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</si>
  <si>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</si>
  <si>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</si>
  <si>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</si>
  <si>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</si>
  <si>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</si>
  <si>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</si>
  <si>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</si>
  <si>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</si>
  <si>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</si>
  <si>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</si>
  <si>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</si>
  <si>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</si>
  <si>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</si>
  <si>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</si>
  <si>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</si>
  <si>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</si>
  <si>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</si>
  <si>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</si>
  <si>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</si>
  <si>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</si>
  <si>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</si>
  <si>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</si>
  <si>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</si>
  <si>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</si>
  <si>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</si>
  <si>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</si>
  <si>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</si>
  <si>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</si>
  <si>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</si>
  <si>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</si>
  <si>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</si>
  <si>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</si>
  <si>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</si>
  <si>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</si>
  <si>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</si>
  <si>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</si>
  <si>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</si>
  <si>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</si>
  <si>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</si>
  <si>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</si>
  <si>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</si>
  <si>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</si>
  <si>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</si>
  <si>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</si>
  <si>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</si>
  <si>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</si>
  <si>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</si>
  <si>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</si>
  <si>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</si>
  <si>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</si>
  <si>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</si>
  <si>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</si>
  <si>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</si>
  <si>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</si>
  <si>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</si>
  <si>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</si>
  <si>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</si>
  <si>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</si>
  <si>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</si>
  <si>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</si>
  <si>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</si>
  <si>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</si>
  <si>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</si>
  <si>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</si>
  <si>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</si>
  <si>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</si>
  <si>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</si>
  <si>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</si>
  <si>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</si>
  <si>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</si>
  <si>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</si>
  <si>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</si>
  <si>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</si>
  <si>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</si>
  <si>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</si>
  <si>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</si>
  <si>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</si>
  <si>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</si>
  <si>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</si>
  <si>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</si>
  <si>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</si>
  <si>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</si>
  <si>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</si>
  <si>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</si>
  <si>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</si>
  <si>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</si>
  <si>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</si>
  <si>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</si>
  <si>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</si>
  <si>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</si>
  <si>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</si>
  <si>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</si>
  <si>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</si>
  <si>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</si>
  <si>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</si>
  <si>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</si>
  <si>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</si>
  <si>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</si>
  <si>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</si>
  <si>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</si>
  <si>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</si>
  <si>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</si>
  <si>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</si>
  <si>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</si>
  <si>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</si>
  <si>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</si>
  <si>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</si>
  <si>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</si>
  <si>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</si>
  <si>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</si>
  <si>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</si>
  <si>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</si>
  <si>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</si>
  <si>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</si>
  <si>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</si>
  <si>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</si>
  <si>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</si>
  <si>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</si>
  <si>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</si>
  <si>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</si>
  <si>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</si>
  <si>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</si>
  <si>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</si>
  <si>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</si>
  <si>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</si>
  <si>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</si>
  <si>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</si>
  <si>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</si>
  <si>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</si>
  <si>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</si>
  <si>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</si>
  <si>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</si>
  <si>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</si>
  <si>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</si>
  <si>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</si>
  <si>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</si>
  <si>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</si>
  <si>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</si>
  <si>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</si>
  <si>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</si>
  <si>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</si>
  <si>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</si>
  <si>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</si>
  <si>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</si>
  <si>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</si>
  <si>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</si>
  <si>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</si>
  <si>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</si>
  <si>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</si>
  <si>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</si>
  <si>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</si>
  <si>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</si>
  <si>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</si>
  <si>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</si>
  <si>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</si>
  <si>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</si>
  <si>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</si>
  <si>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</si>
  <si>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</si>
  <si>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</si>
  <si>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</si>
  <si>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</si>
  <si>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</si>
  <si>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</si>
  <si>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</si>
  <si>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</si>
  <si>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</si>
  <si>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</si>
  <si>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</si>
  <si>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</si>
  <si>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</si>
  <si>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</si>
  <si>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</si>
  <si>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</si>
  <si>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</si>
  <si>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</si>
  <si>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</si>
  <si>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</si>
  <si>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</si>
  <si>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</si>
  <si>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</si>
  <si>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</si>
  <si>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</si>
  <si>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</si>
  <si>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</si>
  <si>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</si>
  <si>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</si>
  <si>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</si>
  <si>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</si>
  <si>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</si>
  <si>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</si>
  <si>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</si>
  <si>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</si>
  <si>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</si>
  <si>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</si>
  <si>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</si>
  <si>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</si>
  <si>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</si>
  <si>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</si>
  <si>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</si>
  <si>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</si>
  <si>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</si>
  <si>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</si>
  <si>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</si>
  <si>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</si>
  <si>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</si>
  <si>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</si>
  <si>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</si>
  <si>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</si>
  <si>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</si>
  <si>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</si>
  <si>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</si>
  <si>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</si>
  <si>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</si>
  <si>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</si>
  <si>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</si>
  <si>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</si>
  <si>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</si>
  <si>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</si>
  <si>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</si>
  <si>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</si>
  <si>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</si>
  <si>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</si>
  <si>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</si>
  <si>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</si>
  <si>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</si>
  <si>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</si>
  <si>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</si>
  <si>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</si>
  <si>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</si>
  <si>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</si>
  <si>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</si>
  <si>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</si>
  <si>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</si>
  <si>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</si>
  <si>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</si>
  <si>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</si>
  <si>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</si>
  <si>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</si>
  <si>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</si>
  <si>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</si>
  <si>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</si>
  <si>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</si>
  <si>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</si>
  <si>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</si>
  <si>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</si>
  <si>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</si>
  <si>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</si>
  <si>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</si>
  <si>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</si>
  <si>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</si>
  <si>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</si>
  <si>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</si>
  <si>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</si>
  <si>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</si>
  <si>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</si>
  <si>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</si>
  <si>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</si>
  <si>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</si>
  <si>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</si>
  <si>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</si>
  <si>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</si>
  <si>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</si>
  <si>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</si>
  <si>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</si>
  <si>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</si>
  <si>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</si>
  <si>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</si>
  <si>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</si>
  <si>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</si>
  <si>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</si>
  <si>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</si>
  <si>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</si>
  <si>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</si>
  <si>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</si>
  <si>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</si>
  <si>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</si>
  <si>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</si>
  <si>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</si>
  <si>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</si>
  <si>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</si>
  <si>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</si>
  <si>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</si>
  <si>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</si>
  <si>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</si>
  <si>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</si>
  <si>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</si>
  <si>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</si>
  <si>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</si>
  <si>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</si>
  <si>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</si>
  <si>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</si>
  <si>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</si>
  <si>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</si>
  <si>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</si>
  <si>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</si>
  <si>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</si>
  <si>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</si>
  <si>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</si>
  <si>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</si>
  <si>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</si>
  <si>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</si>
  <si>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</si>
  <si>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</si>
  <si>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</si>
  <si>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</si>
  <si>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</si>
  <si>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</si>
  <si>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</si>
  <si>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</si>
  <si>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</si>
  <si>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</si>
  <si>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</si>
  <si>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</si>
  <si>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</si>
  <si>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</si>
  <si>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</si>
  <si>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</si>
  <si>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</si>
  <si>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</si>
  <si>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</si>
  <si>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</si>
  <si>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</si>
  <si>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</si>
  <si>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</si>
  <si>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</si>
  <si>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</si>
  <si>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</si>
  <si>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</si>
  <si>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</si>
  <si>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</si>
  <si>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</si>
  <si>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</si>
  <si>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</si>
  <si>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</si>
  <si>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</si>
  <si>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</si>
  <si>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</si>
  <si>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</si>
  <si>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</si>
  <si>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</si>
  <si>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</si>
  <si>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</si>
  <si>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</si>
  <si>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</si>
  <si>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</si>
  <si>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</si>
  <si>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</si>
  <si>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</si>
  <si>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</si>
  <si>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</si>
  <si>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</si>
  <si>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</si>
  <si>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</si>
  <si>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</si>
  <si>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</si>
  <si>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</si>
  <si>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</si>
  <si>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</si>
  <si>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</si>
  <si>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</si>
  <si>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</si>
  <si>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</si>
  <si>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</si>
  <si>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</si>
  <si>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</si>
  <si>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</si>
  <si>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</si>
  <si>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</si>
  <si>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</si>
  <si>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</si>
  <si>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</si>
  <si>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</si>
  <si>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</si>
  <si>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</si>
  <si>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</si>
  <si>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</si>
  <si>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</si>
  <si>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</si>
  <si>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</si>
  <si>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</si>
  <si>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</si>
  <si>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</si>
  <si>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</si>
  <si>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</si>
  <si>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</si>
  <si>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</si>
  <si>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</si>
  <si>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</si>
  <si>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</si>
  <si>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</si>
  <si>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</si>
  <si>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</si>
  <si>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</si>
  <si>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</si>
  <si>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</si>
  <si>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</si>
  <si>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</si>
  <si>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</si>
  <si>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</si>
  <si>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</si>
  <si>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</si>
  <si>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</si>
  <si>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</si>
  <si>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</si>
  <si>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</si>
  <si>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</si>
  <si>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</si>
  <si>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</si>
  <si>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</si>
  <si>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</si>
  <si>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</si>
  <si>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</si>
  <si>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</si>
  <si>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</si>
  <si>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</si>
  <si>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</si>
  <si>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</si>
  <si>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</si>
  <si>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</si>
  <si>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</si>
  <si>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</si>
  <si>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</si>
  <si>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</si>
  <si>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</si>
  <si>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</si>
  <si>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</si>
  <si>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</si>
  <si>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</si>
  <si>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</si>
  <si>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</si>
  <si>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</si>
  <si>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</si>
  <si>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</si>
  <si>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</si>
  <si>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</si>
  <si>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</si>
  <si>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</si>
  <si>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</si>
  <si>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</si>
  <si>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</si>
  <si>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</si>
  <si>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</si>
  <si>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</si>
  <si>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</si>
  <si>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</si>
  <si>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</si>
  <si>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</si>
  <si>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</si>
  <si>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</si>
  <si>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</si>
  <si>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</si>
  <si>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</si>
  <si>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</si>
  <si>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</si>
  <si>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</si>
  <si>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</si>
  <si>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</si>
  <si>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</si>
  <si>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</si>
  <si>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</si>
  <si>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</si>
  <si>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</si>
  <si>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</si>
  <si>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</si>
  <si>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</si>
  <si>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</si>
  <si>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</si>
  <si>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</si>
  <si>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</si>
  <si>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</si>
  <si>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</si>
  <si>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</si>
  <si>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</si>
  <si>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</si>
  <si>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</si>
  <si>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</si>
  <si>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</si>
  <si>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</si>
  <si>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</si>
  <si>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</si>
  <si>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</si>
  <si>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</si>
  <si>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</si>
  <si>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</si>
  <si>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</si>
  <si>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</si>
  <si>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</si>
  <si>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</si>
  <si>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</si>
  <si>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</si>
  <si>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</si>
  <si>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</si>
  <si>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</si>
  <si>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</si>
  <si>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</si>
  <si>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</si>
  <si>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</si>
  <si>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</si>
  <si>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</si>
  <si>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</si>
  <si>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</si>
  <si>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</si>
  <si>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</si>
  <si>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</si>
  <si>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</si>
  <si>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</si>
  <si>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</si>
  <si>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</si>
  <si>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</si>
  <si>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</si>
  <si>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</si>
  <si>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</si>
  <si>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</si>
  <si>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</si>
  <si>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</si>
  <si>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</si>
  <si>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</si>
  <si>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</si>
  <si>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</si>
  <si>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</si>
  <si>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</si>
  <si>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</si>
  <si>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</si>
  <si>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</si>
  <si>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</si>
  <si>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</si>
  <si>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</si>
  <si>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</si>
  <si>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</si>
  <si>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</si>
  <si>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</si>
  <si>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</si>
  <si>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</si>
  <si>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</si>
  <si>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</si>
  <si>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</si>
  <si>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</si>
  <si>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</si>
  <si>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</si>
  <si>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</si>
  <si>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</si>
  <si>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</si>
  <si>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</si>
  <si>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</si>
  <si>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</si>
  <si>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</si>
  <si>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</si>
  <si>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</si>
  <si>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</si>
  <si>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</si>
  <si>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</si>
  <si>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</si>
  <si>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</si>
  <si>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</si>
  <si>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</si>
  <si>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</si>
  <si>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</si>
  <si>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</si>
  <si>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</si>
  <si>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</si>
  <si>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</si>
  <si>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</si>
  <si>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</si>
  <si>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</si>
  <si>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</si>
  <si>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</si>
  <si>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</si>
  <si>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</si>
  <si>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</si>
  <si>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</si>
  <si>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</si>
  <si>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</si>
  <si>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</si>
  <si>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</si>
  <si>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</si>
  <si>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</si>
  <si>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</si>
  <si>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</si>
  <si>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</si>
  <si>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</si>
  <si>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</si>
  <si>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</si>
  <si>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</si>
  <si>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</si>
  <si>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</si>
  <si>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</si>
  <si>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</si>
  <si>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</si>
  <si>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</si>
  <si>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</si>
  <si>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</si>
  <si>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</si>
  <si>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</si>
  <si>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</si>
  <si>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</si>
  <si>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</si>
  <si>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</si>
  <si>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</si>
  <si>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</si>
  <si>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</si>
  <si>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</si>
  <si>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</si>
  <si>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</si>
  <si>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</si>
  <si>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</si>
  <si>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</si>
  <si>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</si>
  <si>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</si>
  <si>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</si>
  <si>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</si>
  <si>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</si>
  <si>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</si>
  <si>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</si>
  <si>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</si>
  <si>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</si>
  <si>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</si>
  <si>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</si>
  <si>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</si>
  <si>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</si>
  <si>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</si>
  <si>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</si>
  <si>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</si>
  <si>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</si>
  <si>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</si>
  <si>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</si>
  <si>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</si>
  <si>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</si>
  <si>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</si>
  <si>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</si>
  <si>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</si>
  <si>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</si>
  <si>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</si>
  <si>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</si>
  <si>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</si>
  <si>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</si>
  <si>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</si>
  <si>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</si>
  <si>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</si>
  <si>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</si>
  <si>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</si>
  <si>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</si>
  <si>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</si>
  <si>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</si>
  <si>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</si>
  <si>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</si>
  <si>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</si>
  <si>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</si>
  <si>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</si>
  <si>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</si>
  <si>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</si>
  <si>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</si>
  <si>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</si>
  <si>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</si>
  <si>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</si>
  <si>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</si>
  <si>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</si>
  <si>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</si>
  <si>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</si>
  <si>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</si>
  <si>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</si>
  <si>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</si>
  <si>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</si>
  <si>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</si>
  <si>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</si>
  <si>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</si>
  <si>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</si>
  <si>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</si>
  <si>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</si>
  <si>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</si>
  <si>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</si>
  <si>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</si>
  <si>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</si>
  <si>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</si>
  <si>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</si>
  <si>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</si>
  <si>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</si>
  <si>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</si>
  <si>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</si>
  <si>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</si>
  <si>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</si>
  <si>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</si>
  <si>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</si>
  <si>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</si>
  <si>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</si>
  <si>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</si>
  <si>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</si>
  <si>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</si>
  <si>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</si>
  <si>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</si>
  <si>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</si>
  <si>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</si>
  <si>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</si>
  <si>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</si>
  <si>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</si>
  <si>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</si>
  <si>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</si>
  <si>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</si>
  <si>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</si>
  <si>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</si>
  <si>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</si>
  <si>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</si>
  <si>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</si>
  <si>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</si>
  <si>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</si>
  <si>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</si>
  <si>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</si>
  <si>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</si>
  <si>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</si>
  <si>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</si>
  <si>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</si>
  <si>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</si>
  <si>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</si>
  <si>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</si>
  <si>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</si>
  <si>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</si>
  <si>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</si>
  <si>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</si>
  <si>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</si>
  <si>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</si>
  <si>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</si>
  <si>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</si>
  <si>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</si>
  <si>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</si>
  <si>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</si>
  <si>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</si>
  <si>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</si>
  <si>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</si>
  <si>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</si>
  <si>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</si>
  <si>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</si>
  <si>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</si>
  <si>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</si>
  <si>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</si>
  <si>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</si>
  <si>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</si>
  <si>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</si>
  <si>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</si>
  <si>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</si>
  <si>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</si>
  <si>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</si>
  <si>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</si>
  <si>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</si>
  <si>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</si>
  <si>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</si>
  <si>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</si>
  <si>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</si>
  <si>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</si>
  <si>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</si>
  <si>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</si>
  <si>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</si>
  <si>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</si>
  <si>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</si>
  <si>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</si>
  <si>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</si>
  <si>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</si>
  <si>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</si>
  <si>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</si>
  <si>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</si>
  <si>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</si>
  <si>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</si>
  <si>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</si>
  <si>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</si>
  <si>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</si>
  <si>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</si>
  <si>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</si>
  <si>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</si>
  <si>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</si>
  <si>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</si>
  <si>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</si>
  <si>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</si>
  <si>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</si>
  <si>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</si>
  <si>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</si>
  <si>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</si>
  <si>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</si>
  <si>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</si>
  <si>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</si>
  <si>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</si>
  <si>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</si>
  <si>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</si>
  <si>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</si>
  <si>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</si>
  <si>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</si>
  <si>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</si>
  <si>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</si>
  <si>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</si>
  <si>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</si>
  <si>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</si>
  <si>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</si>
  <si>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</si>
  <si>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</si>
  <si>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</si>
  <si>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</si>
  <si>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</si>
  <si>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</si>
  <si>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</si>
  <si>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</si>
  <si>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</si>
  <si>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</si>
  <si>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</si>
  <si>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</si>
  <si>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</si>
  <si>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</si>
  <si>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</si>
  <si>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</si>
  <si>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</si>
  <si>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</si>
  <si>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</si>
  <si>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</si>
  <si>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</si>
  <si>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</si>
  <si>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</si>
  <si>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</si>
  <si>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</si>
  <si>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</si>
  <si>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</si>
  <si>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</si>
  <si>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</si>
  <si>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</si>
  <si>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</si>
  <si>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</si>
  <si>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</si>
  <si>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</si>
  <si>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</si>
  <si>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</si>
  <si>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</si>
  <si>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</si>
  <si>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</si>
  <si>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</si>
  <si>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</si>
  <si>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</si>
  <si>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</si>
  <si>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</si>
  <si>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</si>
  <si>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</si>
  <si>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</si>
  <si>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</si>
  <si>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</si>
  <si>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</si>
  <si>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</si>
  <si>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</si>
  <si>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</si>
  <si>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</si>
  <si>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</si>
  <si>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</si>
  <si>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</si>
  <si>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</si>
  <si>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</si>
  <si>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</si>
  <si>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</si>
  <si>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</si>
  <si>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</si>
  <si>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</si>
  <si>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</si>
  <si>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</si>
  <si>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</si>
  <si>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</si>
  <si>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</si>
  <si>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</si>
  <si>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</si>
  <si>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</si>
  <si>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</si>
  <si>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</si>
  <si>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</si>
  <si>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</si>
  <si>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</si>
  <si>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</si>
  <si>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</si>
  <si>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</si>
  <si>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</si>
  <si>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</si>
  <si>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</si>
  <si>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</si>
  <si>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</si>
  <si>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</si>
  <si>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</si>
  <si>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</si>
  <si>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</si>
  <si>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</si>
  <si>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</si>
  <si>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</si>
  <si>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</si>
  <si>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</si>
  <si>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</si>
  <si>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</si>
  <si>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</si>
  <si>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</si>
  <si>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</si>
  <si>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</si>
  <si>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</si>
  <si>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</si>
  <si>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</si>
  <si>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</si>
  <si>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</si>
  <si>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</si>
  <si>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</si>
  <si>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</si>
  <si>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</si>
  <si>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</si>
  <si>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</si>
  <si>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</si>
  <si>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</si>
  <si>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</si>
  <si>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</si>
  <si>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</si>
  <si>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</si>
  <si>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</si>
  <si>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</si>
  <si>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</si>
  <si>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</si>
  <si>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</si>
  <si>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</si>
  <si>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</si>
  <si>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</si>
  <si>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</si>
  <si>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</si>
  <si>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</si>
  <si>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</si>
  <si>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</si>
  <si>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</si>
  <si>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</si>
  <si>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</si>
  <si>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</si>
  <si>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</si>
  <si>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</si>
  <si>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</si>
  <si>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</si>
  <si>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</si>
  <si>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</si>
  <si>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</si>
  <si>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</si>
  <si>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</si>
  <si>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</si>
  <si>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</si>
  <si>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</si>
  <si>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</si>
  <si>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</si>
  <si>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</si>
  <si>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</si>
  <si>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</si>
  <si>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</si>
  <si>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</si>
  <si>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</si>
  <si>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</si>
  <si>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</si>
  <si>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</si>
  <si>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</si>
  <si>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</si>
  <si>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</si>
  <si>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</si>
  <si>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</si>
  <si>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</si>
  <si>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</si>
  <si>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</si>
  <si>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</si>
  <si>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</si>
  <si>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</si>
  <si>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</si>
  <si>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</si>
  <si>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</si>
  <si>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</si>
  <si>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</si>
  <si>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</si>
  <si>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</si>
  <si>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</si>
  <si>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</si>
  <si>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</si>
  <si>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</si>
  <si>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</si>
  <si>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</si>
  <si>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</si>
  <si>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</si>
  <si>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</si>
  <si>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</si>
  <si>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</si>
  <si>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</si>
  <si>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</si>
  <si>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</si>
  <si>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</si>
  <si>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</si>
  <si>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</si>
  <si>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</si>
  <si>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</si>
  <si>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</si>
  <si>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</si>
  <si>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</si>
  <si>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</si>
  <si>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</si>
  <si>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</si>
  <si>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</si>
  <si>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</si>
  <si>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</si>
  <si>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</si>
  <si>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</si>
  <si>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</si>
  <si>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</si>
  <si>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</si>
  <si>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</si>
  <si>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</si>
  <si>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</si>
  <si>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</si>
  <si>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</si>
  <si>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</si>
  <si>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</si>
  <si>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</si>
  <si>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</si>
  <si>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</si>
  <si>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</si>
  <si>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</si>
  <si>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</si>
  <si>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</si>
  <si>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</si>
  <si>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</si>
  <si>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</si>
  <si>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</si>
  <si>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</si>
  <si>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</si>
  <si>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</si>
  <si>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</si>
  <si>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</si>
  <si>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</si>
  <si>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</si>
  <si>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</si>
  <si>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</si>
  <si>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</si>
  <si>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</si>
  <si>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</si>
  <si>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</si>
  <si>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</si>
  <si>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</si>
  <si>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</si>
  <si>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</si>
  <si>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</si>
  <si>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</si>
  <si>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</si>
  <si>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</si>
  <si>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</si>
  <si>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</si>
  <si>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</si>
  <si>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</si>
  <si>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</si>
  <si>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</si>
  <si>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</si>
  <si>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</si>
  <si>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</si>
  <si>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</si>
  <si>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</si>
  <si>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</si>
  <si>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</si>
  <si>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</si>
  <si>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</si>
  <si>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</si>
  <si>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</si>
  <si>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</si>
  <si>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</si>
  <si>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</si>
  <si>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</si>
  <si>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</si>
  <si>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</si>
  <si>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</si>
  <si>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</si>
  <si>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</si>
  <si>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</si>
  <si>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</si>
  <si>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</si>
  <si>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</si>
  <si>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</si>
  <si>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</si>
  <si>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</si>
  <si>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</si>
  <si>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</si>
  <si>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</si>
  <si>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</si>
  <si>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</si>
  <si>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</si>
  <si>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</si>
  <si>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</si>
  <si>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</si>
  <si>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</si>
  <si>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</si>
  <si>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</si>
  <si>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</si>
  <si>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</si>
  <si>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</si>
  <si>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</si>
  <si>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</si>
  <si>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</si>
  <si>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</si>
  <si>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</si>
  <si>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</si>
  <si>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</si>
  <si>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</si>
  <si>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</si>
  <si>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</si>
  <si>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</si>
  <si>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</si>
  <si>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</si>
  <si>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</si>
  <si>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</si>
  <si>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</si>
  <si>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</si>
  <si>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</si>
  <si>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</si>
  <si>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</si>
  <si>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</si>
  <si>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</si>
  <si>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</si>
  <si>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</si>
  <si>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</si>
  <si>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</si>
  <si>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</si>
  <si>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</si>
  <si>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</si>
  <si>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</si>
  <si>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</si>
  <si>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</si>
  <si>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</si>
  <si>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</si>
  <si>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</si>
  <si>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</si>
  <si>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</si>
  <si>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</si>
  <si>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</si>
  <si>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</si>
  <si>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</si>
  <si>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</si>
  <si>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</si>
  <si>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</si>
  <si>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</si>
  <si>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</si>
  <si>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</si>
  <si>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</si>
  <si>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</si>
  <si>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</si>
  <si>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</si>
  <si>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</si>
  <si>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</si>
  <si>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</si>
  <si>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</si>
  <si>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</si>
  <si>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</si>
  <si>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</si>
  <si>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</si>
  <si>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</si>
  <si>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</si>
  <si>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</si>
  <si>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</si>
  <si>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</si>
  <si>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</si>
  <si>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</si>
  <si>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</si>
  <si>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</si>
  <si>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</si>
  <si>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</si>
  <si>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</si>
  <si>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</si>
  <si>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</si>
  <si>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</si>
  <si>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</si>
  <si>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</si>
  <si>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</si>
  <si>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</si>
  <si>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</si>
  <si>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</si>
  <si>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</si>
  <si>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</si>
  <si>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</si>
  <si>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</si>
  <si>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</si>
  <si>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</si>
  <si>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</si>
  <si>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</si>
  <si>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</si>
  <si>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</si>
  <si>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</si>
  <si>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</si>
  <si>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</si>
  <si>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</si>
  <si>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</si>
  <si>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</si>
  <si>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</si>
  <si>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</si>
  <si>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</si>
  <si>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</si>
  <si>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</si>
  <si>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</si>
  <si>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</si>
  <si>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</si>
  <si>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</si>
  <si>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</si>
  <si>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</si>
  <si>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</si>
  <si>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</si>
  <si>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</si>
  <si>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</si>
  <si>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</si>
  <si>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</si>
  <si>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</si>
  <si>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</si>
  <si>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</si>
  <si>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</si>
  <si>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</si>
  <si>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</si>
  <si>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</si>
  <si>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</si>
  <si>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</si>
  <si>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</si>
  <si>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</si>
  <si>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</si>
  <si>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</si>
  <si>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</si>
  <si>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</si>
  <si>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</si>
  <si>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</si>
  <si>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</si>
  <si>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</si>
  <si>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</si>
  <si>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</si>
  <si>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</si>
  <si>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</si>
  <si>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</si>
  <si>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</si>
  <si>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</si>
  <si>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</si>
  <si>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</si>
  <si>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</si>
  <si>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</si>
  <si>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</si>
  <si>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</si>
  <si>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</si>
  <si>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</si>
  <si>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</si>
  <si>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</si>
  <si>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</si>
  <si>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</si>
  <si>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</si>
  <si>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</si>
  <si>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</si>
  <si>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</si>
  <si>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</si>
  <si>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</si>
  <si>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</si>
  <si>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</si>
  <si>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</si>
  <si>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</si>
  <si>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</si>
  <si>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</si>
  <si>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</si>
  <si>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</si>
  <si>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</si>
  <si>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</si>
  <si>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</si>
  <si>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</si>
  <si>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</si>
  <si>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</si>
  <si>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</si>
  <si>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</si>
  <si>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</si>
  <si>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</si>
  <si>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</si>
  <si>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</si>
  <si>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</si>
  <si>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</si>
  <si>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</si>
  <si>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</si>
  <si>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</si>
  <si>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</si>
  <si>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</si>
  <si>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</si>
  <si>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</si>
  <si>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</si>
  <si>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</si>
  <si>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</si>
  <si>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</si>
  <si>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</si>
  <si>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</si>
  <si>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</si>
  <si>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</si>
  <si>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</si>
  <si>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</si>
  <si>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</si>
  <si>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</si>
  <si>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</si>
  <si>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</si>
  <si>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</si>
  <si>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</si>
  <si>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</si>
  <si>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</si>
  <si>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</si>
  <si>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</si>
  <si>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</si>
  <si>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</si>
  <si>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</si>
  <si>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</si>
  <si>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</si>
  <si>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</si>
  <si>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</si>
  <si>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</si>
  <si>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</si>
  <si>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</si>
  <si>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</si>
  <si>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</si>
  <si>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</si>
  <si>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</si>
  <si>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</si>
  <si>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</si>
  <si>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</si>
  <si>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</si>
  <si>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</si>
  <si>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</si>
  <si>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</si>
  <si>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</si>
  <si>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</si>
  <si>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</si>
  <si>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</si>
  <si>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</si>
  <si>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</si>
  <si>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</si>
  <si>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</si>
  <si>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</si>
  <si>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</si>
  <si>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</si>
  <si>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</si>
  <si>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</si>
  <si>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</si>
  <si>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</si>
  <si>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</si>
  <si>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</si>
  <si>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</si>
  <si>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</si>
  <si>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</si>
  <si>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</si>
  <si>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</si>
  <si>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</si>
  <si>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</si>
  <si>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</si>
  <si>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</si>
  <si>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</si>
  <si>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</si>
  <si>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</si>
  <si>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</si>
  <si>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</si>
  <si>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</si>
  <si>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</si>
  <si>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</si>
  <si>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</si>
  <si>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</si>
  <si>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</si>
  <si>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</si>
  <si>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</si>
  <si>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</si>
  <si>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</si>
  <si>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</si>
  <si>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</si>
  <si>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</si>
  <si>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</si>
  <si>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</si>
  <si>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</si>
  <si>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</si>
  <si>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</si>
  <si>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</si>
  <si>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</si>
  <si>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</si>
  <si>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</si>
  <si>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</si>
  <si>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</si>
  <si>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</si>
  <si>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</si>
  <si>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</si>
  <si>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</si>
  <si>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</si>
  <si>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</si>
  <si>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</si>
  <si>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</si>
  <si>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</si>
  <si>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</si>
  <si>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</si>
  <si>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</si>
  <si>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</si>
  <si>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</si>
  <si>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</si>
  <si>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</si>
  <si>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</si>
  <si>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</si>
  <si>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</si>
  <si>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</si>
  <si>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</si>
  <si>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</si>
  <si>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</si>
  <si>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</si>
  <si>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</si>
  <si>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</si>
  <si>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</si>
  <si>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</si>
  <si>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</si>
  <si>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</si>
  <si>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</si>
  <si>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</si>
  <si>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</si>
  <si>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</si>
  <si>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</si>
  <si>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</si>
  <si>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</si>
  <si>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</si>
  <si>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</si>
  <si>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</si>
  <si>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</si>
  <si>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</si>
  <si>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</si>
  <si>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</si>
  <si>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</si>
  <si>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</si>
  <si>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</si>
  <si>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</si>
  <si>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</si>
  <si>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</si>
  <si>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</si>
  <si>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</si>
  <si>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</si>
  <si>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</si>
  <si>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</si>
  <si>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</si>
  <si>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</si>
  <si>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</si>
  <si>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</si>
  <si>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</si>
  <si>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</si>
  <si>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</si>
  <si>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</si>
  <si>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</si>
  <si>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</si>
  <si>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</si>
  <si>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</si>
  <si>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</si>
  <si>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</si>
  <si>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</si>
  <si>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</si>
  <si>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</si>
  <si>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</si>
  <si>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</si>
  <si>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</si>
  <si>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</si>
  <si>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</si>
  <si>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</si>
  <si>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</si>
  <si>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</si>
  <si>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</si>
  <si>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</si>
  <si>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</si>
  <si>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</si>
  <si>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</si>
  <si>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</si>
  <si>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</si>
  <si>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</si>
  <si>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</si>
  <si>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</si>
  <si>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</si>
  <si>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</si>
  <si>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</si>
  <si>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</si>
  <si>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</si>
  <si>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</si>
  <si>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</si>
  <si>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</si>
  <si>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</si>
  <si>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</si>
  <si>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</si>
  <si>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</si>
  <si>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</si>
  <si>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</si>
  <si>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</si>
  <si>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</si>
  <si>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</si>
  <si>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</si>
  <si>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</si>
  <si>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</si>
  <si>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</si>
  <si>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</si>
  <si>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</si>
  <si>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</si>
  <si>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</si>
  <si>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</si>
  <si>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</si>
  <si>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</si>
  <si>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</si>
  <si>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</si>
  <si>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</si>
  <si>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</si>
  <si>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</si>
  <si>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</si>
  <si>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</si>
  <si>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</si>
  <si>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</si>
  <si>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</si>
  <si>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</si>
  <si>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</si>
  <si>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</si>
  <si>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</si>
  <si>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</si>
  <si>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</si>
  <si>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</si>
  <si>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</si>
  <si>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</si>
  <si>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</si>
  <si>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</si>
  <si>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</si>
  <si>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</si>
  <si>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</si>
  <si>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</si>
  <si>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</si>
  <si>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</si>
  <si>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</si>
  <si>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</si>
  <si>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</si>
  <si>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</si>
  <si>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</si>
  <si>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</si>
  <si>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</si>
  <si>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</si>
  <si>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</si>
  <si>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</si>
  <si>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</si>
  <si>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</si>
  <si>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</si>
  <si>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</si>
  <si>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</si>
  <si>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</si>
  <si>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</si>
  <si>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</si>
  <si>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</si>
  <si>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</si>
  <si>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</si>
  <si>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</si>
  <si>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</si>
  <si>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</si>
  <si>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</si>
  <si>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</si>
  <si>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</si>
  <si>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</si>
  <si>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</si>
  <si>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</si>
  <si>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</si>
  <si>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</si>
  <si>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</si>
  <si>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</si>
  <si>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</si>
  <si>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</si>
  <si>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</si>
  <si>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</si>
  <si>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</si>
  <si>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</si>
  <si>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</si>
  <si>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</si>
  <si>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</si>
  <si>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</si>
  <si>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</si>
  <si>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</si>
  <si>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</si>
  <si>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</si>
  <si>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</si>
  <si>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</si>
  <si>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</si>
  <si>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</si>
  <si>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</si>
  <si>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</si>
  <si>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</si>
  <si>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</si>
  <si>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</si>
  <si>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</si>
  <si>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</si>
  <si>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</si>
  <si>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</si>
  <si>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</si>
  <si>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</si>
  <si>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</si>
  <si>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</si>
  <si>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</si>
  <si>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</si>
  <si>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</si>
  <si>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</si>
  <si>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</si>
  <si>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</si>
  <si>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</si>
  <si>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</si>
  <si>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</si>
  <si>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</si>
  <si>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</si>
  <si>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</si>
  <si>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</si>
  <si>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</si>
  <si>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</si>
  <si>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</si>
  <si>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</si>
  <si>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</si>
  <si>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</si>
  <si>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</si>
  <si>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</si>
  <si>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</si>
  <si>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</si>
  <si>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</si>
  <si>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</si>
  <si>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</si>
  <si>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</si>
  <si>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</si>
  <si>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</si>
  <si>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</si>
  <si>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</si>
  <si>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</si>
  <si>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</si>
  <si>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</si>
  <si>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</si>
  <si>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</si>
  <si>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</si>
  <si>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</si>
  <si>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</si>
  <si>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</si>
  <si>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</si>
  <si>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</si>
  <si>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</si>
  <si>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</si>
  <si>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</si>
  <si>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</si>
  <si>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</si>
  <si>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</si>
  <si>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</si>
  <si>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</si>
  <si>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</si>
  <si>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</si>
  <si>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</si>
  <si>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</si>
  <si>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</si>
  <si>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</si>
  <si>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</si>
  <si>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</si>
  <si>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</si>
  <si>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</si>
  <si>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</si>
  <si>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</si>
  <si>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</si>
  <si>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</si>
  <si>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</si>
  <si>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</si>
  <si>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</si>
  <si>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</si>
  <si>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</si>
  <si>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</si>
  <si>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</si>
  <si>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</si>
  <si>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</si>
  <si>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</si>
  <si>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</si>
  <si>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</si>
  <si>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</si>
  <si>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</si>
  <si>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</si>
  <si>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</si>
  <si>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</si>
  <si>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</si>
  <si>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</si>
  <si>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</si>
  <si>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</si>
  <si>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</si>
  <si>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</si>
  <si>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</si>
  <si>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</si>
  <si>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</si>
  <si>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</si>
  <si>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</si>
  <si>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</si>
  <si>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</si>
  <si>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</si>
  <si>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</si>
  <si>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</si>
  <si>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</si>
  <si>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</si>
  <si>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</si>
  <si>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</si>
  <si>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</si>
  <si>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</si>
  <si>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</si>
  <si>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</si>
  <si>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</si>
  <si>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</si>
  <si>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</si>
  <si>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</si>
  <si>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</si>
  <si>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</si>
  <si>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</si>
  <si>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</si>
  <si>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</si>
  <si>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</si>
  <si>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</si>
  <si>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</si>
  <si>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</si>
  <si>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</si>
  <si>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</si>
  <si>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</si>
  <si>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</si>
  <si>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</si>
  <si>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</si>
  <si>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</si>
  <si>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</si>
  <si>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</si>
  <si>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</si>
  <si>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</si>
  <si>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</si>
  <si>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</si>
  <si>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</si>
  <si>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</si>
  <si>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</si>
  <si>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</si>
  <si>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</si>
  <si>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</si>
  <si>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</si>
  <si>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</si>
  <si>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</si>
  <si>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</si>
  <si>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</si>
  <si>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</si>
  <si>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</si>
  <si>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</si>
  <si>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</si>
  <si>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</si>
  <si>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</si>
  <si>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</si>
  <si>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</si>
  <si>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</si>
  <si>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</si>
  <si>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</si>
  <si>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</si>
  <si>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</si>
  <si>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</si>
  <si>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</si>
  <si>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</si>
  <si>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</si>
  <si>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</si>
  <si>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</si>
  <si>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</si>
  <si>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</si>
  <si>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</si>
  <si>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</si>
  <si>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</si>
  <si>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</si>
  <si>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</si>
  <si>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</si>
  <si>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</si>
  <si>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</si>
  <si>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</si>
  <si>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</si>
  <si>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</si>
  <si>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</si>
  <si>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</si>
  <si>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</si>
  <si>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</si>
  <si>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</si>
  <si>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</si>
  <si>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</si>
  <si>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</si>
  <si>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</si>
  <si>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</si>
  <si>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</si>
  <si>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</si>
  <si>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</si>
  <si>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</si>
  <si>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</si>
  <si>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</si>
  <si>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</si>
  <si>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</si>
  <si>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</si>
  <si>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</si>
  <si>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</si>
  <si>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</si>
  <si>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</si>
  <si>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</si>
  <si>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</si>
  <si>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</si>
  <si>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</si>
  <si>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</si>
  <si>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</si>
  <si>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</si>
  <si>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</si>
  <si>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</si>
  <si>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</si>
  <si>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</si>
  <si>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</si>
  <si>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</si>
  <si>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</si>
  <si>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</si>
  <si>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</si>
  <si>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</si>
  <si>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</si>
  <si>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</si>
  <si>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</si>
  <si>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</si>
  <si>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</si>
  <si>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</si>
  <si>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</si>
  <si>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</si>
  <si>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</si>
  <si>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</si>
  <si>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</si>
  <si>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</si>
  <si>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</si>
  <si>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</si>
  <si>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</si>
  <si>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</si>
  <si>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</si>
  <si>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</si>
  <si>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</si>
  <si>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</si>
  <si>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</si>
  <si>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</si>
  <si>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</si>
  <si>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</si>
  <si>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</si>
  <si>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</si>
  <si>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</si>
  <si>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</si>
  <si>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</si>
  <si>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</si>
  <si>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</si>
  <si>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</si>
  <si>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</si>
  <si>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</si>
  <si>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</si>
  <si>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</si>
  <si>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</si>
  <si>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</si>
  <si>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</si>
  <si>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</si>
  <si>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</si>
  <si>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</si>
  <si>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</si>
  <si>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</si>
  <si>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</si>
  <si>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</si>
  <si>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</si>
  <si>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</si>
  <si>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</si>
  <si>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</si>
  <si>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</si>
  <si>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</si>
  <si>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</si>
  <si>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</si>
  <si>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</si>
  <si>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</si>
  <si>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</si>
  <si>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</si>
  <si>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</si>
  <si>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</si>
  <si>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</si>
  <si>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</si>
  <si>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</si>
  <si>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</si>
  <si>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</si>
  <si>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</si>
  <si>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</si>
  <si>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</si>
  <si>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</si>
  <si>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</si>
  <si>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</si>
  <si>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</si>
  <si>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</si>
  <si>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</si>
  <si>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</si>
  <si>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</si>
  <si>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</si>
  <si>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</si>
  <si>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</si>
  <si>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</si>
  <si>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</si>
  <si>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</si>
  <si>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</si>
  <si>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</si>
  <si>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</si>
  <si>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</si>
  <si>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</si>
  <si>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</si>
  <si>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</si>
  <si>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</si>
  <si>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</si>
  <si>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</si>
  <si>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</si>
  <si>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</si>
  <si>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</si>
  <si>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</si>
  <si>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</si>
  <si>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</si>
  <si>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</si>
  <si>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</si>
  <si>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</si>
  <si>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</si>
  <si>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</si>
  <si>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</si>
  <si>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</si>
  <si>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</si>
  <si>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</si>
  <si>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</si>
  <si>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</si>
  <si>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</si>
  <si>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</si>
  <si>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</si>
  <si>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</si>
  <si>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</si>
  <si>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</si>
  <si>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</si>
  <si>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</si>
  <si>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</si>
  <si>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</si>
  <si>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</si>
  <si>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</si>
  <si>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</si>
  <si>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</si>
  <si>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</si>
  <si>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</si>
  <si>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</si>
  <si>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</si>
  <si>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</si>
  <si>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</si>
  <si>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</si>
  <si>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</si>
  <si>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</si>
  <si>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</si>
  <si>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</si>
  <si>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</si>
  <si>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</si>
  <si>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</si>
  <si>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</si>
  <si>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</si>
  <si>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</si>
  <si>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</si>
  <si>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</si>
  <si>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</si>
  <si>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</si>
  <si>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</si>
  <si>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</si>
  <si>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</si>
  <si>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</si>
  <si>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</si>
  <si>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</si>
  <si>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</si>
  <si>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</si>
  <si>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</si>
  <si>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</si>
  <si>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</si>
  <si>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</si>
  <si>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</si>
  <si>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</si>
  <si>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</si>
  <si>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</si>
  <si>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</si>
  <si>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</si>
  <si>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</si>
  <si>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</si>
  <si>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</si>
  <si>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</si>
  <si>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</si>
  <si>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</si>
  <si>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</si>
  <si>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</si>
  <si>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</si>
  <si>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</si>
  <si>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</si>
  <si>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</si>
  <si>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</si>
  <si>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</si>
  <si>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</si>
  <si>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</si>
  <si>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</si>
  <si>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</si>
  <si>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</si>
  <si>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</si>
  <si>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</si>
  <si>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</si>
  <si>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</si>
  <si>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</si>
  <si>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</si>
  <si>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</si>
  <si>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</si>
  <si>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</si>
  <si>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</si>
  <si>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</si>
  <si>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</si>
  <si>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</si>
  <si>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</si>
  <si>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</si>
  <si>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</si>
  <si>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</si>
  <si>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</si>
  <si>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</si>
  <si>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</si>
  <si>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</si>
  <si>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</si>
  <si>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</si>
  <si>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</si>
  <si>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</si>
  <si>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</si>
  <si>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</si>
  <si>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</si>
  <si>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</si>
  <si>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</si>
  <si>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</si>
  <si>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</si>
  <si>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</si>
  <si>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</si>
  <si>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</si>
  <si>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</si>
  <si>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</si>
  <si>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</si>
  <si>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</si>
  <si>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</si>
  <si>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</si>
  <si>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</si>
  <si>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</si>
  <si>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</si>
  <si>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</si>
  <si>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</si>
  <si>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</si>
  <si>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</si>
  <si>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</si>
  <si>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</si>
  <si>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</si>
  <si>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</si>
  <si>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</si>
  <si>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</si>
  <si>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</si>
  <si>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</si>
  <si>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</si>
  <si>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</si>
  <si>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</si>
  <si>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</si>
  <si>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</si>
  <si>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</si>
  <si>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</si>
  <si>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</si>
  <si>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</si>
  <si>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</si>
  <si>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</si>
  <si>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</si>
  <si>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</si>
  <si>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</si>
  <si>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</si>
  <si>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</si>
  <si>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</si>
  <si>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</si>
  <si>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</si>
  <si>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</si>
  <si>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</si>
  <si>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</si>
  <si>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</si>
  <si>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</si>
  <si>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</si>
  <si>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</si>
  <si>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</si>
  <si>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</si>
  <si>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</si>
  <si>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</si>
  <si>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</si>
  <si>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</si>
  <si>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</si>
  <si>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</si>
  <si>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</si>
  <si>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</si>
  <si>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</si>
  <si>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</si>
  <si>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</si>
  <si>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</si>
  <si>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</si>
  <si>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</si>
  <si>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</si>
  <si>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</si>
  <si>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</si>
  <si>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</si>
  <si>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</si>
  <si>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</si>
  <si>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</si>
  <si>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</si>
  <si>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</si>
  <si>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</si>
  <si>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</si>
  <si>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</si>
  <si>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</si>
  <si>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</si>
  <si>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</si>
  <si>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</si>
  <si>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</si>
  <si>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</si>
  <si>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</si>
  <si>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</si>
  <si>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</si>
  <si>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</si>
  <si>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</si>
  <si>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</si>
  <si>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</si>
  <si>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</si>
  <si>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</si>
  <si>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</si>
  <si>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</si>
  <si>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</si>
  <si>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</si>
  <si>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</si>
  <si>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</si>
  <si>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</si>
  <si>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</si>
  <si>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</si>
  <si>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</si>
  <si>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</si>
  <si>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</si>
  <si>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</si>
  <si>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</si>
  <si>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</si>
  <si>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</si>
  <si>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</si>
  <si>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</si>
  <si>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</si>
  <si>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</si>
  <si>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</si>
  <si>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</si>
  <si>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</si>
  <si>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</si>
  <si>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</si>
  <si>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</si>
  <si>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</si>
  <si>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</si>
  <si>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</si>
  <si>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</si>
  <si>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</si>
  <si>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</si>
  <si>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</si>
  <si>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</si>
  <si>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</si>
  <si>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</si>
  <si>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</si>
  <si>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</si>
  <si>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</si>
  <si>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</si>
  <si>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</si>
  <si>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</si>
  <si>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</si>
  <si>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</si>
  <si>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</si>
  <si>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</si>
  <si>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</si>
  <si>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</si>
  <si>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</si>
  <si>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</si>
  <si>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</si>
  <si>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</si>
  <si>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</si>
  <si>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</si>
  <si>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</si>
  <si>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</si>
  <si>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</si>
  <si>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</si>
  <si>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</si>
  <si>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</si>
  <si>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</si>
  <si>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</si>
  <si>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</si>
  <si>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</si>
  <si>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</si>
  <si>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</si>
  <si>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</si>
  <si>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</si>
  <si>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</si>
  <si>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</si>
  <si>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</si>
  <si>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</si>
  <si>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</si>
  <si>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</si>
  <si>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</si>
  <si>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</si>
  <si>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</si>
  <si>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</si>
  <si>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</si>
  <si>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</si>
  <si>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</si>
  <si>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</si>
  <si>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</si>
  <si>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</si>
  <si>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</si>
  <si>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</si>
  <si>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</si>
  <si>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</si>
  <si>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</si>
  <si>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</si>
  <si>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</si>
  <si>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</si>
  <si>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</si>
  <si>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</si>
  <si>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</si>
  <si>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</si>
  <si>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</si>
  <si>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</si>
  <si>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</si>
  <si>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</si>
  <si>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</si>
  <si>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</si>
  <si>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</si>
  <si>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</si>
  <si>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</si>
  <si>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</si>
  <si>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</si>
  <si>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</si>
  <si>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</si>
  <si>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</si>
  <si>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</si>
  <si>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</si>
  <si>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</si>
  <si>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</si>
  <si>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</si>
  <si>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</si>
  <si>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</si>
  <si>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</si>
  <si>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</si>
  <si>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</si>
  <si>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</si>
  <si>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</si>
  <si>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</si>
  <si>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</si>
  <si>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</si>
  <si>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</si>
  <si>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</si>
  <si>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</si>
  <si>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</si>
  <si>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</si>
  <si>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</si>
  <si>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</si>
  <si>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</si>
  <si>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</si>
  <si>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</si>
  <si>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</si>
  <si>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</si>
  <si>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</si>
  <si>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</si>
  <si>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</si>
  <si>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</si>
  <si>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</si>
  <si>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</si>
  <si>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</si>
  <si>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</si>
  <si>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</si>
  <si>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</si>
  <si>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</si>
  <si>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</si>
  <si>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</si>
  <si>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</si>
  <si>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</si>
  <si>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</si>
  <si>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</si>
  <si>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</si>
  <si>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</si>
  <si>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</si>
  <si>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</si>
  <si>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</si>
  <si>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</si>
  <si>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</si>
  <si>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</si>
  <si>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</si>
  <si>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</si>
  <si>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</si>
  <si>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</si>
  <si>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</si>
  <si>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</si>
  <si>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</si>
  <si>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</si>
  <si>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</si>
  <si>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</si>
  <si>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</si>
  <si>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</si>
  <si>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</si>
  <si>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</si>
  <si>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</si>
  <si>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</si>
  <si>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</si>
  <si>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</si>
  <si>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</si>
  <si>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</si>
  <si>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</si>
  <si>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</si>
  <si>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</si>
  <si>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</si>
  <si>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</si>
  <si>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</si>
  <si>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</si>
  <si>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</si>
  <si>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</si>
  <si>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</si>
  <si>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</si>
  <si>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</si>
  <si>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</si>
  <si>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</si>
  <si>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</si>
  <si>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</si>
  <si>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</si>
  <si>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</si>
  <si>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</si>
  <si>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</si>
  <si>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</si>
  <si>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</si>
  <si>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</si>
  <si>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</si>
  <si>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</si>
  <si>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</si>
  <si>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</si>
  <si>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</si>
  <si>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</si>
  <si>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</si>
  <si>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</si>
  <si>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</si>
  <si>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</si>
  <si>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</si>
  <si>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</si>
  <si>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</si>
  <si>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</si>
  <si>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</si>
  <si>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</si>
  <si>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</si>
  <si>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</si>
  <si>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</si>
  <si>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</si>
  <si>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</si>
  <si>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</si>
  <si>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</si>
  <si>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</si>
  <si>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</si>
  <si>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</si>
  <si>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</si>
  <si>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</si>
  <si>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</si>
  <si>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</si>
  <si>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</si>
  <si>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</si>
  <si>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</si>
  <si>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</si>
  <si>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</si>
  <si>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</si>
  <si>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</si>
  <si>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</si>
  <si>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</si>
  <si>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</si>
  <si>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</si>
  <si>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</si>
  <si>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</si>
  <si>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</si>
  <si>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</si>
  <si>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</si>
  <si>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</si>
  <si>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</si>
  <si>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</si>
  <si>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</si>
  <si>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</si>
  <si>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</si>
  <si>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</si>
  <si>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</si>
  <si>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</si>
  <si>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</si>
  <si>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</si>
  <si>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</si>
  <si>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</si>
  <si>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</si>
  <si>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</si>
  <si>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</si>
  <si>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</si>
  <si>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</si>
  <si>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</si>
  <si>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</si>
  <si>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</si>
  <si>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</si>
  <si>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</si>
  <si>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</si>
  <si>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</si>
  <si>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</si>
  <si>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</si>
  <si>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</si>
  <si>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</si>
  <si>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</si>
  <si>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</si>
  <si>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</si>
  <si>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</si>
  <si>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</si>
  <si>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</si>
  <si>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</si>
  <si>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</si>
  <si>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</si>
  <si>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</si>
  <si>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</si>
  <si>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</si>
  <si>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</si>
  <si>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</si>
  <si>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</si>
  <si>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</si>
  <si>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</si>
  <si>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</si>
  <si>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</si>
  <si>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</si>
  <si>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</si>
  <si>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</si>
  <si>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</si>
  <si>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</si>
  <si>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</si>
  <si>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</si>
  <si>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</si>
  <si>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</si>
  <si>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</si>
  <si>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</si>
  <si>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</si>
  <si>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</si>
  <si>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</si>
  <si>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</si>
  <si>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</si>
  <si>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</si>
  <si>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</si>
  <si>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</si>
  <si>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</si>
  <si>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</si>
  <si>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</si>
  <si>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</si>
  <si>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</si>
  <si>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</si>
  <si>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</si>
  <si>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</si>
  <si>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</si>
  <si>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</si>
  <si>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</si>
  <si>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</si>
  <si>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</si>
  <si>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</si>
  <si>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</si>
  <si>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</si>
  <si>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</si>
  <si>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</si>
  <si>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</si>
  <si>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</si>
  <si>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</si>
  <si>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</si>
  <si>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</si>
  <si>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</si>
  <si>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</si>
  <si>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</si>
  <si>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</si>
  <si>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</si>
  <si>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</si>
  <si>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</si>
  <si>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</si>
  <si>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</si>
  <si>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</si>
  <si>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</si>
  <si>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</si>
  <si>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</si>
  <si>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</si>
  <si>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</si>
  <si>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</si>
  <si>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</si>
  <si>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</si>
  <si>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</si>
  <si>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</si>
  <si>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</si>
  <si>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</si>
  <si>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</si>
  <si>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</si>
  <si>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</si>
  <si>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</si>
  <si>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</si>
  <si>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</si>
  <si>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</si>
  <si>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</si>
  <si>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</si>
  <si>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</si>
  <si>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</si>
  <si>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</si>
  <si>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</si>
  <si>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</si>
  <si>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</si>
  <si>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</si>
  <si>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</si>
  <si>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</si>
  <si>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</si>
  <si>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</si>
  <si>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</si>
  <si>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</si>
  <si>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</si>
  <si>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</si>
  <si>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</si>
  <si>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</si>
  <si>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</si>
  <si>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</si>
  <si>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</si>
  <si>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</si>
  <si>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</si>
  <si>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</si>
  <si>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</si>
  <si>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</si>
  <si>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</si>
  <si>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</si>
  <si>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</si>
  <si>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</si>
  <si>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</si>
  <si>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</si>
  <si>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</si>
  <si>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</si>
  <si>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</si>
  <si>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</si>
  <si>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</si>
  <si>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</si>
  <si>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</si>
  <si>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</si>
  <si>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</si>
  <si>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</si>
  <si>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</si>
  <si>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</si>
  <si>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</si>
  <si>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</si>
  <si>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</si>
  <si>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</si>
  <si>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</si>
  <si>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</si>
  <si>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</si>
  <si>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</si>
  <si>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</si>
  <si>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</si>
  <si>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</si>
  <si>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</si>
  <si>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</si>
  <si>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</si>
  <si>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</si>
  <si>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</si>
  <si>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</si>
  <si>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</si>
  <si>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</si>
  <si>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</si>
  <si>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</si>
  <si>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</si>
  <si>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</si>
  <si>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</si>
  <si>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</si>
  <si>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</si>
  <si>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</si>
  <si>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</si>
  <si>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</si>
  <si>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</si>
  <si>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</si>
  <si>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</si>
  <si>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</si>
  <si>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</si>
  <si>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</si>
  <si>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</si>
  <si>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</si>
  <si>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</si>
  <si>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</si>
  <si>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</si>
  <si>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</si>
  <si>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</si>
  <si>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</si>
  <si>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</si>
  <si>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</si>
  <si>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</si>
  <si>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</si>
  <si>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</si>
  <si>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</si>
  <si>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</si>
  <si>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</si>
  <si>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</si>
  <si>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</si>
  <si>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</si>
  <si>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</si>
  <si>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</si>
  <si>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</si>
  <si>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</si>
  <si>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</si>
  <si>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</si>
  <si>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</si>
  <si>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</si>
  <si>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</si>
  <si>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</si>
  <si>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</si>
  <si>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</si>
  <si>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</si>
  <si>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</si>
  <si>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</si>
  <si>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</si>
  <si>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</si>
  <si>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</si>
  <si>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</si>
  <si>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</si>
  <si>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</si>
  <si>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</si>
  <si>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</si>
  <si>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</si>
  <si>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</si>
  <si>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</si>
  <si>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</si>
  <si>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</si>
  <si>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</si>
  <si>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</si>
  <si>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</si>
  <si>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</si>
  <si>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</si>
  <si>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</si>
  <si>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</si>
  <si>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</si>
  <si>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</si>
  <si>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</si>
  <si>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</si>
  <si>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</si>
  <si>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</si>
  <si>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</si>
  <si>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</si>
  <si>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</si>
  <si>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</si>
  <si>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</si>
  <si>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</si>
  <si>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</si>
  <si>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</si>
  <si>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</si>
  <si>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</si>
  <si>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</si>
  <si>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</si>
  <si>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</si>
  <si>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</si>
  <si>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</si>
  <si>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</si>
  <si>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</si>
  <si>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</si>
  <si>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</si>
  <si>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</si>
  <si>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</si>
  <si>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</si>
  <si>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</si>
  <si>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</si>
  <si>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</si>
  <si>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</si>
  <si>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</si>
  <si>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</si>
  <si>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</si>
  <si>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</si>
  <si>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</si>
  <si>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</si>
  <si>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</si>
  <si>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</si>
  <si>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</si>
  <si>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</si>
  <si>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</si>
  <si>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</si>
  <si>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</si>
  <si>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</si>
  <si>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</si>
  <si>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</si>
  <si>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</si>
  <si>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</si>
  <si>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</si>
  <si>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</si>
  <si>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</si>
  <si>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</si>
  <si>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</si>
  <si>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</si>
  <si>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</si>
  <si>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</si>
  <si>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</si>
  <si>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</si>
  <si>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</si>
  <si>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</si>
  <si>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</si>
  <si>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</si>
  <si>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</si>
  <si>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</si>
  <si>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</si>
  <si>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</si>
  <si>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</si>
  <si>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</si>
  <si>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</si>
  <si>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</si>
  <si>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</si>
  <si>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</si>
  <si>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</si>
  <si>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</si>
  <si>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</si>
  <si>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</si>
  <si>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</si>
  <si>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</si>
  <si>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</si>
  <si>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</si>
  <si>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</si>
  <si>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</si>
  <si>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</si>
  <si>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</si>
  <si>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</si>
  <si>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</si>
  <si>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</si>
  <si>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</si>
  <si>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</si>
  <si>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</si>
  <si>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</si>
  <si>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</si>
  <si>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</si>
  <si>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</si>
  <si>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</si>
  <si>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</si>
  <si>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</si>
  <si>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</si>
  <si>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</si>
  <si>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</si>
  <si>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</si>
  <si>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</si>
  <si>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</si>
  <si>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</si>
  <si>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</si>
  <si>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</si>
  <si>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</si>
  <si>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</si>
  <si>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</si>
  <si>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</si>
  <si>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</si>
  <si>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</si>
  <si>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</si>
  <si>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</si>
  <si>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</si>
  <si>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</si>
  <si>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</si>
  <si>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</si>
  <si>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</si>
  <si>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</si>
  <si>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</si>
  <si>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</si>
  <si>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</si>
  <si>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</si>
  <si>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</si>
  <si>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</si>
  <si>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</si>
  <si>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</si>
  <si>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</si>
  <si>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</si>
  <si>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</si>
  <si>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</si>
  <si>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</si>
  <si>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</si>
  <si>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</si>
  <si>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</si>
  <si>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</si>
  <si>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</si>
  <si>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</si>
  <si>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</si>
  <si>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</si>
  <si>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</si>
  <si>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</si>
  <si>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</si>
  <si>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</si>
  <si>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</si>
  <si>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</si>
  <si>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</si>
  <si>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</si>
  <si>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</si>
  <si>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</si>
  <si>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</si>
  <si>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</si>
  <si>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</si>
  <si>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</si>
  <si>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</si>
  <si>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</si>
  <si>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</si>
  <si>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</si>
  <si>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</si>
  <si>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</si>
  <si>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</si>
  <si>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</si>
  <si>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</si>
  <si>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</si>
  <si>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</si>
  <si>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</si>
  <si>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</si>
  <si>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</si>
  <si>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</si>
  <si>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</si>
  <si>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</si>
  <si>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</si>
  <si>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</si>
  <si>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</si>
  <si>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</si>
  <si>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</si>
  <si>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</si>
  <si>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</si>
  <si>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</si>
  <si>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</si>
  <si>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</si>
  <si>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</si>
  <si>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</si>
  <si>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</si>
  <si>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</si>
  <si>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</si>
  <si>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</si>
  <si>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</si>
  <si>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</si>
  <si>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</si>
  <si>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</si>
  <si>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</si>
  <si>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</si>
  <si>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</si>
  <si>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</si>
  <si>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</si>
  <si>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</si>
  <si>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</si>
  <si>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</si>
  <si>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</si>
  <si>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</si>
  <si>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</si>
  <si>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</si>
  <si>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</si>
  <si>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</si>
  <si>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</si>
  <si>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</si>
  <si>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</si>
  <si>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</si>
  <si>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</si>
  <si>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</si>
  <si>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</si>
  <si>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</si>
  <si>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</si>
  <si>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</si>
  <si>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</si>
  <si>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</si>
  <si>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</si>
  <si>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</si>
  <si>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</si>
  <si>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</si>
  <si>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</si>
  <si>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</si>
  <si>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</si>
  <si>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</si>
  <si>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</si>
  <si>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</si>
  <si>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</si>
  <si>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</si>
  <si>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</si>
  <si>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</si>
  <si>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</si>
  <si>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</si>
  <si>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</si>
  <si>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</si>
  <si>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</si>
  <si>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</si>
  <si>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</si>
  <si>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</si>
  <si>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</si>
  <si>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</si>
  <si>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</si>
  <si>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</si>
  <si>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</si>
  <si>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</si>
  <si>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</si>
  <si>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</si>
  <si>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</si>
  <si>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</si>
  <si>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</si>
  <si>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</si>
  <si>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</si>
  <si>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</si>
  <si>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</si>
  <si>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</si>
  <si>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</si>
  <si>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</si>
  <si>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</si>
  <si>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</si>
  <si>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</si>
  <si>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</si>
  <si>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</si>
  <si>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</si>
  <si>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</si>
  <si>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</si>
  <si>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</si>
  <si>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</si>
  <si>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</si>
  <si>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</si>
  <si>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</si>
  <si>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</si>
  <si>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</si>
  <si>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</si>
  <si>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</si>
  <si>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</si>
  <si>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</si>
  <si>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</si>
  <si>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</si>
  <si>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</si>
  <si>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</si>
  <si>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</si>
  <si>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</si>
  <si>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</si>
  <si>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</si>
  <si>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</si>
  <si>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</si>
  <si>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</si>
  <si>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</si>
  <si>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</si>
  <si>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</si>
  <si>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</si>
  <si>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</si>
  <si>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</si>
  <si>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</si>
  <si>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</si>
  <si>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</si>
  <si>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</si>
  <si>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</si>
  <si>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</si>
  <si>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</si>
  <si>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</si>
  <si>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</si>
  <si>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</si>
  <si>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</si>
  <si>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</si>
  <si>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</si>
  <si>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</si>
  <si>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</si>
  <si>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</si>
  <si>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</si>
  <si>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</si>
  <si>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</si>
  <si>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</si>
  <si>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</si>
  <si>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</si>
  <si>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</si>
  <si>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</si>
  <si>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</si>
  <si>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</si>
  <si>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</si>
  <si>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</si>
  <si>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</si>
  <si>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</si>
  <si>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</si>
  <si>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</si>
  <si>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</si>
  <si>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</si>
  <si>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</si>
  <si>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</si>
  <si>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</si>
  <si>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</si>
  <si>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</si>
  <si>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</si>
  <si>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</si>
  <si>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</si>
  <si>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</si>
  <si>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</si>
  <si>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</si>
  <si>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</si>
  <si>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</si>
  <si>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</si>
  <si>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</si>
  <si>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</si>
  <si>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</si>
  <si>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</si>
  <si>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</si>
  <si>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</si>
  <si>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</si>
  <si>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</si>
  <si>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</si>
  <si>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</si>
  <si>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</si>
  <si>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</si>
  <si>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</si>
  <si>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</si>
  <si>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</si>
  <si>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</si>
  <si>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</si>
  <si>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</si>
  <si>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</si>
  <si>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</si>
  <si>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</si>
  <si>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</si>
  <si>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</si>
  <si>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</si>
  <si>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</si>
  <si>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</si>
  <si>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</si>
  <si>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</si>
  <si>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</si>
  <si>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</si>
  <si>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</si>
  <si>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</si>
  <si>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</si>
  <si>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</si>
  <si>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</si>
  <si>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</si>
  <si>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</si>
  <si>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</si>
  <si>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</si>
  <si>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</si>
  <si>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</si>
  <si>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</si>
  <si>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</si>
  <si>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</si>
  <si>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</si>
  <si>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</si>
  <si>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</si>
  <si>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</si>
  <si>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</si>
  <si>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</si>
  <si>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</si>
  <si>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</si>
  <si>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</si>
  <si>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</si>
  <si>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</si>
  <si>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</si>
  <si>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</si>
  <si>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</si>
  <si>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</si>
  <si>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</si>
  <si>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</si>
  <si>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</si>
  <si>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</si>
  <si>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</si>
  <si>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</si>
  <si>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</si>
  <si>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</si>
  <si>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</si>
  <si>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</si>
  <si>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</si>
  <si>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</si>
  <si>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</si>
  <si>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</si>
  <si>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</si>
  <si>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</si>
  <si>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</si>
  <si>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</si>
  <si>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</si>
  <si>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</si>
  <si>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</si>
  <si>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</si>
  <si>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</si>
  <si>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</si>
  <si>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</si>
  <si>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</si>
  <si>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</si>
  <si>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</si>
  <si>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</si>
  <si>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</si>
  <si>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</si>
  <si>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</si>
  <si>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</si>
  <si>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</si>
  <si>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</si>
  <si>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</si>
  <si>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</si>
  <si>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</si>
  <si>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</si>
  <si>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</si>
  <si>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</si>
  <si>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</si>
  <si>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</si>
  <si>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</si>
  <si>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</si>
  <si>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</si>
  <si>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</si>
  <si>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</si>
  <si>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</si>
  <si>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</si>
  <si>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</si>
  <si>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</si>
  <si>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</si>
  <si>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</si>
  <si>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</si>
  <si>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</si>
  <si>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</si>
  <si>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</si>
  <si>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</si>
  <si>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</si>
  <si>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</si>
  <si>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</si>
  <si>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</si>
  <si>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</si>
  <si>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</si>
  <si>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</si>
  <si>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</si>
  <si>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</si>
  <si>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</si>
  <si>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</si>
  <si>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</si>
  <si>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</si>
  <si>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</si>
  <si>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</si>
  <si>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</si>
  <si>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</si>
  <si>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</si>
  <si>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</si>
  <si>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</si>
  <si>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</si>
  <si>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</si>
  <si>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</si>
  <si>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</si>
  <si>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</si>
  <si>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</si>
  <si>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</si>
  <si>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</si>
  <si>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</si>
  <si>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</si>
  <si>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</si>
  <si>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</si>
  <si>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</si>
  <si>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</si>
  <si>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</si>
  <si>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</si>
  <si>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</si>
  <si>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</si>
  <si>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</si>
  <si>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</si>
  <si>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</si>
  <si>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</si>
  <si>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</si>
  <si>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</si>
  <si>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</si>
  <si>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</si>
  <si>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</si>
  <si>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</si>
  <si>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</si>
  <si>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</si>
  <si>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</si>
  <si>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</si>
  <si>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</si>
  <si>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</si>
  <si>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</si>
  <si>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</si>
  <si>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</si>
  <si>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</si>
  <si>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</si>
  <si>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</si>
  <si>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</si>
  <si>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</si>
  <si>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</si>
  <si>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</si>
  <si>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</si>
  <si>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</si>
  <si>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</si>
  <si>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</si>
  <si>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</si>
  <si>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</si>
  <si>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</si>
  <si>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</si>
  <si>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</si>
  <si>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</si>
  <si>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</si>
  <si>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</si>
  <si>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</si>
  <si>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</si>
  <si>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</si>
  <si>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</si>
  <si>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</si>
  <si>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</si>
  <si>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</si>
  <si>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</si>
  <si>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</si>
  <si>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</si>
  <si>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</si>
  <si>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</si>
  <si>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</si>
  <si>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</si>
  <si>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</si>
  <si>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</si>
  <si>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</si>
  <si>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</si>
  <si>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</si>
  <si>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</si>
  <si>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</si>
  <si>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</si>
  <si>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</si>
  <si>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</si>
  <si>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</si>
  <si>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</si>
  <si>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</si>
  <si>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</si>
  <si>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</si>
  <si>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</si>
  <si>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</si>
  <si>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</si>
  <si>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</si>
  <si>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</si>
  <si>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</si>
  <si>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</si>
  <si>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</si>
  <si>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</si>
  <si>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</si>
  <si>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</si>
  <si>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</si>
  <si>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</si>
  <si>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</si>
  <si>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</si>
  <si>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</si>
  <si>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</si>
  <si>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</si>
  <si>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</si>
  <si>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</si>
  <si>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</si>
  <si>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</si>
  <si>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</si>
  <si>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</si>
  <si>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</si>
  <si>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</si>
  <si>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</si>
  <si>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</si>
  <si>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</si>
  <si>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</si>
  <si>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</si>
  <si>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</si>
  <si>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</si>
  <si>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</si>
  <si>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</si>
  <si>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</si>
  <si>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</si>
  <si>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</si>
  <si>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</si>
  <si>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</si>
  <si>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</si>
  <si>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</si>
  <si>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</si>
  <si>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</si>
  <si>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</si>
  <si>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</si>
  <si>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</si>
  <si>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</si>
  <si>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</si>
  <si>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</si>
  <si>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</si>
  <si>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</si>
  <si>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</si>
  <si>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</si>
  <si>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</si>
  <si>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</si>
  <si>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</si>
  <si>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</si>
  <si>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</si>
  <si>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</si>
  <si>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</si>
  <si>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</si>
  <si>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</si>
  <si>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</si>
  <si>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</si>
  <si>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</si>
  <si>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</si>
  <si>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</si>
  <si>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</si>
  <si>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</si>
  <si>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</si>
  <si>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</si>
  <si>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</si>
  <si>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</si>
  <si>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</si>
  <si>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</si>
  <si>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</si>
  <si>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</si>
  <si>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</si>
  <si>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</si>
  <si>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</si>
  <si>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</si>
  <si>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</si>
  <si>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</si>
  <si>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</si>
  <si>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</si>
  <si>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</si>
  <si>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</si>
  <si>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</si>
  <si>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</si>
  <si>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</si>
  <si>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</si>
  <si>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</si>
  <si>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</si>
  <si>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</si>
  <si>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</si>
  <si>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</si>
  <si>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</si>
  <si>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</si>
  <si>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</si>
  <si>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</si>
  <si>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</si>
  <si>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</si>
  <si>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</si>
  <si>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</si>
  <si>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</si>
  <si>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</si>
  <si>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</si>
  <si>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</si>
  <si>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</si>
  <si>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</si>
  <si>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</si>
  <si>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</si>
  <si>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</si>
  <si>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</si>
  <si>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</si>
  <si>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</si>
  <si>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</si>
  <si>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</si>
  <si>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</si>
  <si>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</si>
  <si>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</si>
  <si>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</si>
  <si>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</si>
  <si>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</si>
  <si>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</si>
  <si>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</si>
  <si>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</si>
  <si>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</si>
  <si>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</si>
  <si>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</si>
  <si>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</si>
  <si>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</si>
  <si>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</si>
  <si>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</si>
  <si>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</si>
  <si>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</si>
  <si>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</si>
  <si>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</si>
  <si>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</si>
  <si>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</si>
  <si>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</si>
  <si>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</si>
  <si>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</si>
  <si>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</si>
  <si>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</si>
  <si>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</si>
  <si>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</si>
  <si>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</si>
  <si>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</si>
  <si>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</si>
  <si>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</si>
  <si>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</si>
  <si>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</si>
  <si>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</si>
  <si>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</si>
  <si>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</si>
  <si>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</si>
  <si>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</si>
  <si>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</si>
  <si>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</si>
  <si>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</si>
  <si>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</si>
  <si>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</si>
  <si>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</si>
  <si>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</si>
  <si>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</si>
  <si>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</si>
  <si>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</si>
  <si>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</si>
  <si>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</si>
  <si>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</si>
  <si>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</si>
  <si>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</si>
  <si>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</si>
  <si>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</si>
  <si>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</si>
  <si>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</si>
  <si>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</si>
  <si>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</si>
  <si>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</si>
  <si>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</si>
  <si>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</si>
  <si>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</si>
  <si>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</si>
  <si>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</si>
  <si>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</si>
  <si>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</si>
  <si>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</si>
  <si>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</si>
  <si>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</si>
  <si>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</si>
  <si>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</si>
  <si>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</si>
  <si>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</si>
  <si>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</si>
  <si>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</si>
  <si>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</si>
  <si>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</si>
  <si>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</si>
  <si>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</si>
  <si>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</si>
  <si>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</si>
  <si>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</si>
  <si>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</si>
  <si>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</si>
  <si>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</si>
  <si>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</si>
  <si>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</si>
  <si>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</si>
  <si>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</si>
  <si>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</si>
  <si>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</si>
  <si>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</si>
  <si>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</si>
  <si>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</si>
  <si>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</si>
  <si>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</si>
  <si>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</si>
  <si>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</si>
  <si>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</si>
  <si>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</si>
  <si>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</si>
  <si>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</si>
  <si>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</si>
  <si>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</si>
  <si>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</si>
  <si>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</si>
  <si>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</si>
  <si>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</si>
  <si>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</si>
  <si>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</si>
  <si>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</si>
  <si>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</si>
  <si>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</si>
  <si>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</si>
  <si>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</si>
  <si>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</si>
  <si>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</si>
  <si>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</si>
  <si>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</si>
  <si>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</si>
  <si>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</si>
  <si>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</si>
  <si>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</si>
  <si>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</si>
  <si>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</si>
  <si>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</si>
  <si>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</si>
  <si>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</si>
  <si>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</si>
  <si>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</si>
  <si>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</si>
  <si>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</si>
  <si>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</si>
  <si>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</si>
  <si>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</si>
  <si>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</si>
  <si>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</si>
  <si>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</si>
  <si>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</si>
  <si>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</si>
  <si>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</si>
  <si>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</si>
  <si>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</si>
  <si>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</si>
  <si>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</si>
  <si>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</si>
  <si>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</si>
  <si>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</si>
  <si>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</si>
  <si>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</si>
  <si>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</si>
  <si>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</si>
  <si>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</si>
  <si>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</si>
  <si>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</si>
  <si>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</si>
  <si>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</si>
  <si>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</si>
  <si>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</si>
  <si>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</si>
  <si>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</si>
  <si>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</si>
  <si>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</si>
  <si>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</si>
  <si>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</si>
  <si>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</si>
  <si>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</si>
  <si>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</si>
  <si>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</si>
  <si>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</si>
  <si>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</si>
  <si>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</si>
  <si>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</si>
  <si>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</si>
  <si>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</si>
  <si>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</si>
  <si>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</si>
  <si>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</si>
  <si>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</si>
  <si>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</si>
  <si>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</si>
  <si>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</si>
  <si>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</si>
  <si>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</si>
  <si>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</si>
  <si>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</si>
  <si>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</si>
  <si>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</si>
  <si>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</si>
  <si>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</si>
  <si>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</si>
  <si>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</si>
  <si>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</si>
  <si>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</si>
  <si>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</si>
  <si>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</si>
  <si>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</si>
  <si>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</si>
  <si>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</si>
  <si>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</si>
  <si>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</si>
  <si>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</si>
  <si>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</si>
  <si>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</si>
  <si>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</si>
  <si>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</si>
  <si>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</si>
  <si>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</si>
  <si>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</si>
  <si>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</si>
  <si>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</si>
  <si>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</si>
  <si>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</si>
  <si>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</si>
  <si>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</si>
  <si>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</si>
  <si>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</si>
  <si>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</si>
  <si>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</si>
  <si>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</si>
  <si>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</si>
  <si>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</si>
  <si>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</si>
  <si>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</si>
  <si>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</si>
  <si>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</si>
  <si>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</si>
  <si>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</si>
  <si>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</si>
  <si>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</si>
  <si>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</si>
  <si>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</si>
  <si>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</si>
  <si>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</si>
  <si>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</si>
  <si>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</si>
  <si>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</si>
  <si>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</si>
  <si>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</si>
  <si>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</si>
  <si>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</si>
  <si>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</si>
  <si>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</si>
  <si>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</si>
  <si>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</si>
  <si>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</si>
  <si>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</si>
  <si>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</si>
  <si>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</si>
  <si>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</si>
  <si>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</si>
  <si>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</si>
  <si>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</si>
  <si>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</si>
  <si>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</si>
  <si>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</si>
  <si>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</si>
  <si>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</si>
  <si>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</si>
  <si>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</si>
  <si>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</si>
  <si>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</si>
  <si>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</si>
  <si>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</si>
  <si>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</si>
  <si>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</si>
  <si>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</si>
  <si>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</si>
  <si>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</si>
  <si>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</si>
  <si>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</si>
  <si>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</si>
  <si>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</si>
  <si>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</si>
  <si>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</si>
  <si>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</si>
  <si>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</si>
  <si>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</si>
  <si>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</si>
  <si>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</si>
  <si>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</si>
  <si>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</si>
  <si>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</si>
  <si>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</si>
  <si>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</si>
  <si>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</si>
  <si>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</si>
  <si>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</si>
  <si>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</si>
  <si>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</si>
  <si>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</si>
  <si>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</si>
  <si>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</si>
  <si>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</si>
  <si>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</si>
  <si>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</si>
  <si>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</si>
  <si>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</si>
  <si>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</si>
  <si>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</si>
  <si>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</si>
  <si>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</si>
  <si>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</si>
  <si>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</si>
  <si>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</si>
  <si>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</si>
  <si>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</si>
  <si>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</si>
  <si>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</si>
  <si>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</si>
  <si>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</si>
  <si>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</si>
  <si>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</si>
  <si>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</si>
  <si>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</si>
  <si>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</si>
  <si>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</si>
  <si>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</si>
  <si>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</si>
  <si>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</si>
  <si>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</si>
  <si>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</si>
  <si>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</si>
  <si>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</si>
  <si>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</si>
  <si>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</si>
  <si>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</si>
  <si>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</si>
  <si>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</si>
  <si>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</si>
  <si>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</si>
  <si>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</si>
  <si>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</si>
  <si>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</si>
  <si>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</si>
  <si>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</si>
  <si>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</si>
  <si>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</si>
  <si>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</si>
  <si>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</si>
  <si>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</si>
  <si>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</si>
  <si>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</si>
  <si>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</si>
  <si>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</si>
  <si>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</si>
  <si>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</si>
  <si>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</si>
  <si>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</si>
  <si>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</si>
  <si>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</si>
  <si>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</si>
  <si>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</si>
  <si>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</si>
  <si>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</si>
  <si>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</si>
  <si>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</si>
  <si>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</si>
  <si>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</si>
  <si>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</si>
  <si>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</si>
  <si>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</si>
  <si>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</si>
  <si>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</si>
  <si>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</si>
  <si>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</si>
  <si>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</si>
  <si>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</si>
  <si>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</si>
  <si>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</si>
  <si>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</si>
  <si>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</si>
  <si>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</si>
  <si>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</si>
  <si>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</si>
  <si>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</si>
  <si>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</si>
  <si>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</si>
  <si>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</si>
  <si>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</si>
  <si>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</si>
  <si>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</si>
  <si>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</si>
  <si>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</si>
  <si>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</si>
  <si>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</si>
  <si>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</si>
  <si>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</si>
  <si>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</si>
  <si>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</si>
  <si>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</si>
  <si>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</si>
  <si>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</si>
  <si>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</si>
  <si>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</si>
  <si>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</si>
  <si>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</si>
  <si>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</si>
  <si>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</si>
  <si>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</si>
  <si>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</si>
  <si>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</si>
  <si>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</si>
  <si>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</si>
  <si>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</si>
  <si>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</si>
  <si>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</si>
  <si>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</si>
  <si>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</si>
  <si>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</si>
  <si>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</si>
  <si>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</si>
  <si>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</si>
  <si>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</si>
  <si>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</si>
  <si>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</si>
  <si>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</si>
  <si>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</si>
  <si>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</si>
  <si>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</si>
  <si>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</si>
  <si>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</si>
  <si>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</si>
  <si>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</si>
  <si>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</si>
  <si>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</si>
  <si>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</si>
  <si>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</si>
  <si>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</si>
  <si>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</si>
  <si>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</si>
  <si>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</si>
  <si>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</si>
  <si>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</si>
  <si>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</si>
  <si>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</si>
  <si>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</si>
  <si>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</si>
  <si>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</si>
  <si>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</si>
  <si>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</si>
  <si>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</si>
  <si>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</si>
  <si>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</si>
  <si>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</si>
  <si>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</si>
  <si>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</si>
  <si>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</si>
  <si>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</si>
  <si>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</si>
  <si>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</si>
  <si>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</si>
  <si>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</si>
  <si>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</si>
  <si>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</si>
  <si>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</si>
  <si>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</si>
  <si>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</si>
  <si>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</si>
  <si>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</si>
  <si>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</si>
  <si>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</si>
  <si>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</si>
  <si>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</si>
  <si>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</si>
  <si>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</si>
  <si>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</si>
  <si>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</si>
  <si>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</si>
  <si>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</si>
  <si>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</si>
  <si>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</si>
  <si>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</si>
  <si>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</si>
  <si>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</si>
  <si>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</si>
  <si>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</si>
  <si>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</si>
  <si>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</si>
  <si>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</si>
  <si>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</si>
  <si>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</si>
  <si>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</si>
  <si>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</si>
  <si>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</si>
  <si>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</si>
  <si>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</si>
  <si>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</si>
  <si>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</si>
  <si>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</si>
  <si>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</si>
  <si>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</si>
  <si>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</si>
  <si>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</si>
  <si>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</si>
  <si>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</si>
  <si>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</si>
  <si>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</si>
  <si>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</si>
  <si>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</si>
  <si>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</si>
  <si>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</si>
  <si>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</si>
  <si>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</si>
  <si>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</si>
  <si>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</si>
  <si>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</si>
  <si>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</si>
  <si>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</si>
  <si>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</si>
  <si>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</si>
  <si>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</si>
  <si>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</si>
  <si>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</si>
  <si>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</si>
  <si>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</si>
  <si>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</si>
  <si>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</si>
  <si>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</si>
  <si>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</si>
  <si>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</si>
  <si>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</si>
  <si>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</si>
  <si>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</si>
  <si>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</si>
  <si>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</si>
  <si>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</si>
  <si>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</si>
  <si>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</si>
  <si>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</si>
  <si>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</si>
  <si>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</si>
  <si>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</si>
  <si>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</si>
  <si>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</si>
  <si>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</si>
  <si>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</si>
  <si>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</si>
  <si>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</si>
  <si>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</si>
  <si>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</si>
  <si>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</si>
  <si>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</si>
  <si>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</si>
  <si>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</si>
  <si>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</si>
  <si>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</si>
  <si>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</si>
  <si>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</si>
  <si>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</si>
  <si>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</si>
  <si>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</si>
  <si>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</si>
  <si>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</si>
  <si>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</si>
  <si>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</si>
  <si>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</si>
  <si>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</si>
  <si>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</si>
  <si>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</si>
  <si>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</si>
  <si>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</si>
  <si>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</si>
  <si>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</si>
  <si>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</si>
  <si>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</si>
  <si>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</si>
  <si>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</si>
  <si>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</si>
  <si>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</si>
  <si>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</si>
  <si>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</si>
  <si>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</si>
  <si>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</si>
  <si>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</si>
  <si>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</si>
  <si>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</si>
  <si>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</si>
  <si>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</si>
  <si>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</si>
  <si>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</si>
  <si>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</si>
  <si>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</si>
  <si>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</si>
  <si>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</si>
  <si>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</si>
  <si>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</si>
  <si>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</si>
  <si>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</si>
  <si>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</si>
  <si>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</si>
  <si>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</si>
  <si>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</si>
  <si>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</si>
  <si>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</si>
  <si>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</si>
  <si>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</si>
  <si>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</si>
  <si>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</si>
  <si>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</si>
  <si>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</si>
  <si>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</si>
  <si>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</si>
  <si>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</si>
  <si>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</si>
  <si>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</si>
  <si>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</si>
  <si>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</si>
  <si>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</si>
  <si>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</si>
  <si>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</si>
  <si>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</si>
  <si>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</si>
  <si>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</si>
  <si>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</si>
  <si>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</si>
  <si>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</si>
  <si>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</si>
  <si>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</si>
  <si>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</si>
  <si>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</si>
  <si>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</si>
  <si>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</si>
  <si>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</si>
  <si>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</si>
  <si>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</si>
  <si>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</si>
  <si>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</si>
  <si>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</si>
  <si>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</si>
  <si>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</si>
  <si>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</si>
  <si>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</si>
  <si>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</si>
  <si>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</si>
  <si>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</si>
  <si>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</si>
  <si>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</si>
  <si>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</si>
  <si>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</si>
  <si>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</si>
  <si>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</si>
  <si>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</si>
  <si>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</si>
  <si>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</si>
  <si>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</si>
  <si>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</si>
  <si>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</si>
  <si>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</si>
  <si>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</si>
  <si>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</si>
  <si>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</si>
  <si>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</si>
  <si>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</si>
  <si>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</si>
  <si>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</si>
  <si>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</si>
  <si>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</si>
  <si>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</si>
  <si>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</si>
  <si>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</si>
  <si>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</si>
  <si>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</si>
  <si>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</si>
  <si>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</si>
  <si>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</si>
  <si>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</si>
  <si>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</si>
  <si>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</si>
  <si>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</si>
  <si>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</si>
  <si>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</si>
  <si>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</si>
  <si>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</si>
  <si>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</si>
  <si>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</si>
  <si>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</si>
  <si>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</si>
  <si>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</si>
  <si>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</si>
  <si>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</si>
  <si>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</si>
  <si>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</si>
  <si>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</si>
  <si>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</si>
  <si>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</si>
  <si>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</si>
  <si>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</si>
  <si>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</si>
  <si>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</si>
  <si>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</si>
  <si>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</si>
  <si>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</si>
  <si>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</si>
  <si>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</si>
  <si>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</si>
  <si>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</si>
  <si>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</si>
  <si>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</si>
  <si>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</si>
  <si>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</si>
  <si>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</si>
  <si>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</si>
  <si>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</si>
  <si>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</si>
  <si>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</si>
  <si>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</si>
  <si>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</si>
  <si>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</si>
  <si>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</si>
  <si>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</si>
  <si>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</si>
  <si>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</si>
  <si>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</si>
  <si>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</si>
  <si>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</si>
  <si>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</si>
  <si>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</si>
  <si>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</si>
  <si>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</si>
  <si>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</si>
  <si>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</si>
  <si>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</si>
  <si>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</si>
  <si>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</si>
  <si>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</si>
  <si>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</si>
  <si>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</si>
  <si>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</si>
  <si>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</si>
  <si>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</si>
  <si>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</si>
  <si>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</si>
  <si>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</si>
  <si>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</si>
  <si>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</si>
  <si>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</si>
  <si>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</si>
  <si>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</si>
  <si>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</si>
  <si>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</si>
  <si>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</si>
  <si>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</si>
  <si>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</si>
  <si>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</si>
  <si>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</si>
  <si>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</si>
  <si>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</si>
  <si>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</si>
  <si>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</si>
  <si>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</si>
  <si>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</si>
  <si>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</si>
  <si>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</si>
  <si>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</si>
  <si>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</si>
  <si>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</si>
  <si>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</si>
  <si>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</si>
  <si>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</si>
  <si>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</si>
  <si>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</si>
  <si>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</si>
  <si>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</si>
  <si>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</si>
  <si>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</si>
  <si>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</si>
  <si>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</si>
  <si>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</si>
  <si>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</si>
  <si>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</si>
  <si>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</si>
  <si>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</si>
  <si>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</si>
  <si>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</si>
  <si>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</si>
  <si>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</si>
  <si>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</si>
  <si>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</si>
  <si>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</si>
  <si>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</si>
  <si>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</si>
  <si>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</si>
  <si>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</si>
  <si>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</si>
  <si>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</si>
  <si>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</si>
  <si>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</si>
  <si>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</si>
  <si>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</si>
  <si>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</si>
  <si>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</si>
  <si>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</si>
  <si>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</si>
  <si>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</si>
  <si>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</si>
  <si>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</si>
  <si>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</si>
  <si>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</si>
  <si>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</si>
  <si>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</si>
  <si>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</si>
  <si>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</si>
  <si>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</si>
  <si>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</si>
  <si>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</si>
  <si>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</si>
  <si>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</si>
  <si>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</si>
  <si>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</si>
  <si>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</si>
  <si>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</si>
  <si>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</si>
  <si>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</si>
  <si>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</si>
  <si>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</si>
  <si>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</si>
  <si>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</si>
  <si>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</si>
  <si>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</si>
  <si>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</si>
  <si>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</si>
  <si>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</si>
  <si>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</si>
  <si>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</si>
  <si>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</si>
  <si>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</si>
  <si>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</si>
  <si>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</si>
  <si>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</si>
  <si>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</si>
  <si>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</si>
  <si>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</si>
  <si>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</si>
  <si>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</si>
  <si>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</si>
  <si>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</si>
  <si>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</si>
  <si>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</si>
  <si>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</si>
  <si>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</si>
  <si>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</si>
  <si>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</si>
  <si>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</si>
  <si>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</si>
  <si>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</si>
  <si>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</si>
  <si>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</si>
  <si>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</si>
  <si>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</si>
  <si>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</si>
  <si>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</si>
  <si>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</si>
  <si>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</si>
  <si>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</si>
  <si>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</si>
  <si>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</si>
  <si>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</si>
  <si>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</si>
  <si>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</si>
  <si>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</si>
  <si>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</si>
  <si>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</si>
  <si>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</si>
  <si>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</si>
  <si>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</si>
  <si>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</si>
  <si>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</si>
  <si>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</si>
  <si>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</si>
  <si>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</si>
  <si>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</si>
  <si>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</si>
  <si>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</si>
  <si>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</si>
  <si>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</si>
  <si>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</si>
  <si>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</si>
  <si>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</si>
  <si>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</si>
  <si>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</si>
  <si>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</si>
  <si>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</si>
  <si>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</si>
  <si>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</si>
  <si>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</si>
  <si>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</si>
  <si>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</si>
  <si>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</si>
  <si>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</si>
  <si>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</si>
  <si>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</si>
  <si>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</si>
  <si>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</si>
  <si>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</si>
  <si>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</si>
  <si>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</si>
  <si>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</si>
  <si>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</si>
  <si>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</si>
  <si>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</si>
  <si>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</si>
  <si>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</si>
  <si>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</si>
  <si>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</si>
  <si>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</si>
  <si>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</si>
  <si>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</si>
  <si>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</si>
  <si>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</si>
  <si>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</si>
  <si>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</si>
  <si>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</si>
  <si>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</si>
  <si>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</si>
  <si>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</si>
  <si>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</si>
  <si>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</si>
  <si>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</si>
  <si>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</si>
  <si>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</si>
  <si>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</si>
  <si>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</si>
  <si>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</si>
  <si>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</si>
  <si>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</si>
  <si>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</si>
  <si>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</si>
  <si>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</si>
  <si>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</si>
  <si>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</si>
  <si>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</si>
  <si>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</si>
  <si>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</si>
  <si>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</si>
  <si>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</si>
  <si>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</si>
  <si>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</si>
  <si>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</si>
  <si>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</si>
  <si>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</si>
  <si>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</si>
  <si>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</si>
  <si>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</si>
  <si>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</si>
  <si>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</si>
  <si>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</si>
  <si>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</si>
  <si>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</si>
  <si>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</si>
  <si>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</si>
  <si>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</si>
  <si>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</si>
  <si>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</si>
  <si>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</si>
  <si>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</si>
  <si>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</si>
  <si>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</si>
  <si>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</si>
  <si>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</si>
  <si>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</si>
  <si>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</si>
  <si>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</si>
  <si>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</si>
  <si>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</si>
  <si>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</si>
  <si>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</si>
  <si>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</si>
  <si>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</si>
  <si>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</si>
  <si>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</si>
  <si>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</si>
  <si>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</si>
  <si>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</si>
  <si>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</si>
  <si>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</si>
  <si>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</si>
  <si>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</si>
  <si>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</si>
  <si>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</si>
  <si>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</si>
  <si>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</si>
  <si>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</si>
  <si>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</si>
  <si>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</si>
  <si>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</si>
  <si>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</si>
  <si>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</si>
  <si>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</si>
  <si>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</si>
  <si>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</si>
  <si>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</si>
  <si>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</si>
  <si>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</si>
  <si>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</si>
  <si>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</si>
  <si>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</si>
  <si>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</si>
  <si>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</si>
  <si>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</si>
  <si>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</si>
  <si>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</si>
  <si>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</si>
  <si>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</si>
  <si>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</si>
  <si>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</si>
  <si>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</si>
  <si>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</si>
  <si>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</si>
  <si>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</si>
  <si>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</si>
  <si>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</si>
  <si>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</si>
  <si>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</si>
  <si>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</si>
  <si>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</si>
  <si>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</si>
  <si>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</si>
  <si>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</si>
  <si>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</si>
  <si>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</si>
  <si>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</si>
  <si>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</si>
  <si>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</si>
  <si>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</si>
  <si>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</si>
  <si>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</si>
  <si>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</si>
  <si>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</si>
  <si>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</si>
  <si>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</si>
  <si>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</si>
  <si>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</si>
  <si>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</si>
  <si>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</si>
  <si>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</si>
  <si>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</si>
  <si>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</si>
  <si>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</si>
  <si>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</si>
  <si>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</si>
  <si>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</si>
  <si>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</si>
  <si>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</si>
  <si>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</si>
  <si>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</si>
  <si>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</si>
  <si>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</si>
  <si>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</si>
  <si>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</si>
  <si>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</si>
  <si>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</si>
  <si>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</si>
  <si>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</si>
  <si>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</si>
  <si>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</si>
  <si>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</si>
  <si>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</si>
  <si>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</si>
  <si>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</si>
  <si>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</si>
  <si>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</si>
  <si>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</si>
  <si>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</si>
  <si>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</si>
  <si>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</si>
  <si>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</si>
  <si>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</si>
  <si>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</si>
  <si>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</si>
  <si>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</si>
  <si>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</si>
  <si>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</si>
  <si>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</si>
  <si>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</si>
  <si>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</si>
  <si>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</si>
  <si>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</si>
  <si>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</si>
  <si>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</si>
  <si>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</si>
  <si>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</si>
  <si>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</si>
  <si>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</si>
  <si>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</si>
  <si>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</si>
  <si>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</si>
  <si>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</si>
  <si>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</si>
  <si>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</si>
  <si>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</si>
  <si>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</si>
  <si>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</si>
  <si>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</si>
  <si>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</si>
  <si>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</si>
  <si>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</si>
  <si>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</si>
  <si>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</si>
  <si>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</si>
  <si>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</si>
  <si>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</si>
  <si>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</si>
  <si>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</si>
  <si>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</si>
  <si>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</si>
  <si>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</si>
  <si>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</si>
  <si>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</si>
  <si>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</si>
  <si>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</si>
  <si>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</si>
  <si>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</si>
  <si>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</si>
  <si>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</si>
  <si>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</si>
  <si>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</si>
  <si>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</si>
  <si>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</si>
  <si>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</si>
  <si>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</si>
  <si>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</si>
  <si>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</si>
  <si>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</si>
  <si>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</si>
  <si>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</si>
  <si>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</si>
  <si>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</si>
  <si>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</si>
  <si>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</si>
  <si>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</si>
  <si>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</si>
  <si>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</si>
  <si>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</si>
  <si>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</si>
  <si>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</si>
  <si>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</si>
  <si>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</si>
  <si>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</si>
  <si>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</si>
  <si>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</si>
  <si>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</si>
  <si>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</si>
  <si>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</si>
  <si>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</si>
  <si>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</si>
  <si>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</si>
  <si>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</si>
  <si>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</si>
  <si>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</si>
  <si>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</si>
  <si>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</si>
  <si>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</si>
  <si>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</si>
  <si>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</si>
  <si>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</si>
  <si>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</si>
  <si>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</si>
  <si>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</si>
  <si>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</si>
  <si>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</si>
  <si>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</si>
  <si>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</si>
  <si>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</si>
  <si>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</si>
  <si>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</si>
  <si>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</si>
  <si>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</si>
  <si>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</si>
  <si>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</si>
  <si>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</si>
  <si>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</si>
  <si>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</si>
  <si>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</si>
  <si>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</si>
  <si>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</si>
  <si>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</si>
  <si>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</si>
  <si>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</si>
  <si>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</si>
  <si>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</si>
  <si>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</si>
  <si>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</si>
  <si>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</si>
  <si>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</si>
  <si>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</si>
  <si>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</si>
  <si>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</si>
  <si>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</si>
  <si>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</si>
  <si>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</si>
  <si>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</si>
  <si>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</si>
  <si>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</si>
  <si>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</si>
  <si>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</si>
  <si>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</si>
  <si>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</si>
  <si>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</si>
  <si>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</si>
  <si>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</si>
  <si>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</si>
  <si>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</si>
  <si>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</si>
  <si>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</si>
  <si>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</si>
  <si>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</si>
  <si>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</si>
  <si>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</si>
  <si>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</si>
  <si>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</si>
  <si>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</si>
  <si>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</si>
  <si>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</si>
  <si>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</si>
  <si>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</si>
  <si>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</si>
  <si>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</si>
  <si>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</si>
  <si>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</si>
  <si>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</si>
  <si>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</si>
  <si>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</si>
  <si>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</si>
  <si>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</si>
  <si>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</si>
  <si>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</si>
  <si>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</si>
  <si>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</si>
  <si>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</si>
  <si>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</si>
  <si>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</si>
  <si>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</si>
  <si>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</si>
  <si>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</si>
  <si>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</si>
  <si>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</si>
  <si>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</si>
  <si>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</si>
  <si>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</si>
  <si>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</si>
  <si>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</si>
  <si>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</si>
  <si>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</si>
  <si>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</si>
  <si>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</si>
  <si>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</si>
  <si>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</si>
  <si>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</si>
  <si>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</si>
  <si>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</si>
  <si>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</si>
  <si>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</si>
  <si>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</si>
  <si>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</si>
  <si>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</si>
  <si>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</si>
  <si>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</si>
  <si>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</si>
  <si>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</si>
  <si>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</si>
  <si>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</si>
  <si>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</si>
  <si>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</si>
  <si>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</si>
  <si>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</si>
  <si>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</si>
  <si>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</si>
  <si>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</si>
  <si>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</si>
  <si>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</si>
  <si>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</si>
  <si>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</si>
  <si>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</si>
  <si>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</si>
  <si>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</si>
  <si>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</si>
  <si>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</si>
  <si>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</si>
  <si>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</si>
  <si>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</si>
  <si>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</si>
  <si>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</si>
  <si>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</si>
  <si>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</si>
  <si>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</si>
  <si>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</si>
  <si>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</si>
  <si>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</si>
  <si>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</si>
  <si>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</si>
  <si>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</si>
  <si>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</si>
  <si>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</si>
  <si>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</si>
  <si>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</si>
  <si>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</si>
  <si>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</si>
  <si>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</si>
  <si>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</si>
  <si>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</si>
  <si>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</si>
  <si>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</si>
  <si>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</si>
  <si>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</si>
  <si>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</si>
  <si>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</si>
  <si>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</si>
  <si>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</si>
  <si>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</si>
  <si>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</si>
  <si>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</si>
  <si>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</si>
  <si>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</si>
  <si>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</si>
  <si>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</si>
  <si>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</si>
  <si>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</si>
  <si>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</si>
  <si>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</si>
  <si>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</si>
  <si>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</si>
  <si>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</si>
  <si>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</si>
  <si>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</si>
  <si>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</si>
  <si>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</si>
  <si>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</si>
  <si>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</si>
  <si>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</si>
  <si>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</si>
  <si>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</si>
  <si>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</si>
  <si>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</si>
  <si>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</si>
  <si>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</si>
  <si>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</si>
  <si>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</si>
  <si>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</si>
  <si>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</si>
  <si>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</si>
  <si>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</si>
  <si>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</si>
  <si>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</si>
  <si>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</si>
  <si>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</si>
  <si>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</si>
  <si>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</si>
  <si>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</si>
  <si>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</si>
  <si>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</si>
  <si>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</si>
  <si>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</si>
  <si>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</si>
  <si>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</si>
  <si>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</si>
  <si>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</si>
  <si>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</si>
  <si>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</si>
  <si>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</si>
  <si>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</si>
  <si>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</si>
  <si>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</si>
  <si>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</si>
  <si>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</si>
  <si>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</si>
  <si>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</si>
  <si>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</si>
  <si>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</si>
  <si>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</si>
  <si>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</si>
  <si>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</si>
  <si>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</si>
  <si>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</si>
  <si>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</si>
  <si>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</si>
  <si>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</si>
  <si>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</si>
  <si>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</si>
  <si>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</si>
  <si>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</si>
  <si>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</si>
  <si>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</si>
  <si>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</si>
  <si>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</si>
  <si>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</si>
  <si>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</si>
  <si>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</si>
  <si>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</si>
  <si>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</si>
  <si>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</si>
  <si>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</si>
  <si>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</si>
  <si>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</si>
  <si>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</si>
  <si>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</si>
  <si>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</si>
  <si>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</si>
  <si>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</si>
  <si>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</si>
  <si>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</si>
  <si>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</si>
  <si>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</si>
  <si>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</si>
  <si>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</si>
  <si>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</si>
  <si>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</si>
  <si>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</si>
  <si>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</si>
  <si>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</si>
  <si>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</si>
  <si>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</si>
  <si>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</si>
  <si>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</si>
  <si>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</si>
  <si>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</si>
  <si>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</si>
  <si>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</si>
  <si>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</si>
  <si>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</si>
  <si>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</si>
  <si>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</si>
  <si>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</si>
  <si>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</si>
  <si>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</si>
  <si>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</si>
  <si>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</si>
  <si>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</si>
  <si>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</si>
  <si>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</si>
  <si>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</si>
  <si>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</si>
  <si>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</si>
  <si>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</si>
  <si>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</si>
  <si>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</si>
  <si>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</si>
  <si>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</si>
  <si>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</si>
  <si>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</si>
  <si>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</si>
  <si>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</si>
  <si>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</si>
  <si>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</si>
  <si>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</si>
  <si>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</si>
  <si>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</si>
  <si>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</si>
  <si>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</si>
  <si>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</si>
  <si>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</si>
  <si>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</si>
  <si>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</si>
  <si>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</si>
  <si>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</si>
  <si>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</si>
  <si>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</si>
  <si>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</si>
  <si>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</si>
  <si>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</si>
  <si>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</si>
  <si>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</si>
  <si>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</si>
  <si>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</si>
  <si>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</si>
  <si>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</si>
  <si>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</si>
  <si>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</si>
  <si>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</si>
  <si>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</si>
  <si>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</si>
  <si>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</si>
  <si>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</si>
  <si>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</si>
  <si>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</si>
  <si>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</si>
  <si>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</si>
  <si>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</si>
  <si>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</si>
  <si>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</si>
  <si>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</si>
  <si>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</si>
  <si>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</si>
  <si>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</si>
  <si>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</si>
  <si>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</si>
  <si>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</si>
  <si>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</si>
  <si>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</si>
  <si>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</si>
  <si>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</si>
  <si>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</si>
  <si>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</si>
  <si>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</si>
  <si>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</si>
  <si>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</si>
  <si>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</si>
  <si>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</si>
  <si>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</si>
  <si>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</si>
  <si>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</si>
  <si>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</si>
  <si>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</si>
  <si>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</si>
  <si>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</si>
  <si>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</si>
  <si>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</si>
  <si>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</si>
  <si>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</si>
  <si>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</si>
  <si>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</si>
  <si>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</si>
  <si>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</si>
  <si>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</si>
  <si>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</si>
  <si>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</si>
  <si>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</si>
  <si>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</si>
  <si>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</si>
  <si>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</si>
  <si>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</si>
  <si>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</si>
  <si>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</si>
  <si>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</si>
  <si>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</si>
  <si>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</si>
  <si>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</si>
  <si>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</si>
  <si>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</si>
  <si>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</si>
  <si>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</si>
  <si>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</si>
  <si>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</si>
  <si>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</si>
  <si>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</si>
  <si>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</si>
  <si>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</si>
  <si>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</si>
  <si>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</si>
  <si>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</si>
  <si>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</si>
  <si>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</si>
  <si>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</si>
  <si>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</si>
  <si>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</si>
  <si>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</si>
  <si>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</si>
  <si>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</si>
  <si>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</si>
  <si>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</si>
  <si>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</si>
  <si>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</si>
  <si>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</si>
  <si>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</si>
  <si>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</si>
  <si>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</si>
  <si>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</si>
  <si>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</si>
  <si>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</si>
  <si>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</si>
  <si>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</si>
  <si>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</si>
  <si>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</si>
  <si>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</si>
  <si>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</si>
  <si>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</si>
  <si>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</si>
  <si>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</si>
  <si>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</si>
  <si>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</si>
  <si>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</si>
  <si>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</si>
  <si>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</si>
  <si>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</si>
  <si>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</si>
  <si>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</si>
  <si>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</si>
  <si>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</si>
  <si>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</si>
  <si>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</si>
  <si>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</si>
  <si>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</si>
  <si>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</si>
  <si>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</si>
  <si>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</si>
  <si>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</si>
  <si>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</si>
  <si>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</si>
  <si>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</si>
  <si>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</si>
  <si>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</si>
  <si>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</si>
  <si>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</si>
  <si>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</si>
  <si>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</si>
  <si>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</si>
  <si>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</si>
  <si>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</si>
  <si>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</si>
  <si>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</si>
  <si>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</si>
  <si>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</si>
  <si>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</si>
  <si>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</si>
  <si>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</si>
  <si>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</si>
  <si>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</si>
  <si>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</si>
  <si>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</si>
  <si>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</si>
  <si>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</si>
  <si>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</si>
  <si>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</si>
  <si>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</si>
  <si>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</si>
  <si>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</si>
  <si>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</si>
  <si>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</si>
  <si>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</si>
  <si>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</si>
  <si>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</si>
  <si>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</si>
  <si>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</si>
  <si>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</si>
  <si>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</si>
  <si>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</si>
  <si>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</si>
  <si>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</si>
  <si>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</si>
  <si>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</si>
  <si>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</si>
  <si>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</si>
  <si>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</si>
  <si>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</si>
  <si>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</si>
  <si>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</si>
  <si>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</si>
  <si>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</si>
  <si>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</si>
  <si>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</si>
  <si>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</si>
  <si>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</si>
  <si>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</si>
  <si>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</si>
  <si>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</si>
  <si>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</si>
  <si>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</si>
  <si>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</si>
  <si>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</si>
  <si>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</si>
  <si>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</si>
  <si>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</si>
  <si>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</si>
  <si>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</si>
  <si>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</si>
  <si>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</si>
  <si>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</si>
  <si>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</si>
  <si>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</si>
  <si>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</si>
  <si>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</si>
  <si>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</si>
  <si>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</si>
  <si>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</si>
  <si>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</si>
  <si>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</si>
  <si>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</si>
  <si>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</si>
  <si>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</si>
  <si>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</si>
  <si>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</si>
  <si>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</si>
  <si>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</si>
  <si>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</si>
  <si>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</si>
  <si>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</si>
  <si>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</si>
  <si>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</si>
  <si>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</si>
  <si>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</si>
  <si>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</si>
  <si>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</si>
  <si>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</si>
  <si>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</si>
  <si>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</si>
  <si>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</si>
  <si>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</si>
  <si>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</si>
  <si>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</si>
  <si>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</si>
  <si>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</si>
  <si>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</si>
  <si>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</si>
  <si>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</si>
  <si>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</si>
  <si>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</si>
  <si>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</si>
  <si>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</si>
  <si>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</si>
  <si>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</si>
  <si>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</si>
  <si>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</si>
  <si>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</si>
  <si>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</si>
  <si>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</si>
  <si>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</si>
  <si>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</si>
  <si>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</si>
  <si>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</si>
  <si>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</si>
  <si>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</si>
  <si>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</si>
  <si>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</si>
  <si>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</si>
  <si>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</si>
  <si>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</si>
  <si>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</si>
  <si>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</si>
  <si>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</si>
  <si>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</si>
  <si>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</si>
  <si>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</si>
  <si>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</si>
  <si>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</si>
  <si>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</si>
  <si>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</si>
  <si>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</si>
  <si>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</si>
  <si>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</si>
  <si>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</si>
  <si>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</si>
  <si>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</si>
  <si>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</si>
  <si>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</si>
  <si>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</si>
  <si>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</si>
  <si>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</si>
  <si>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</si>
  <si>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</si>
  <si>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</si>
  <si>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</si>
  <si>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</si>
  <si>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</si>
  <si>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</si>
  <si>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</si>
  <si>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</si>
  <si>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</si>
  <si>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</si>
  <si>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</si>
  <si>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</si>
  <si>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</si>
  <si>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</si>
  <si>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</si>
  <si>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</si>
  <si>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</si>
  <si>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</si>
  <si>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</si>
  <si>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</si>
  <si>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</si>
  <si>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</si>
  <si>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</si>
  <si>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</si>
  <si>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</si>
  <si>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</si>
  <si>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</si>
  <si>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</si>
  <si>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</si>
  <si>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</si>
  <si>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</si>
  <si>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</si>
  <si>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</si>
  <si>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</si>
  <si>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</si>
  <si>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</si>
  <si>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</si>
  <si>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</si>
  <si>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</si>
  <si>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</si>
  <si>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</si>
  <si>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</si>
  <si>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</si>
  <si>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</si>
  <si>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</si>
  <si>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</si>
  <si>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</si>
  <si>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</si>
  <si>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</si>
  <si>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</si>
  <si>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</si>
  <si>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</si>
  <si>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</si>
  <si>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</si>
  <si>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</si>
  <si>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</si>
  <si>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</si>
  <si>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</si>
  <si>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</si>
  <si>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</si>
  <si>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</si>
  <si>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</si>
  <si>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</si>
  <si>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</si>
  <si>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</si>
  <si>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</si>
  <si>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</si>
  <si>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</si>
  <si>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</si>
  <si>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</si>
  <si>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</si>
  <si>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</si>
  <si>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</si>
  <si>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</si>
  <si>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</si>
  <si>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</si>
  <si>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</si>
  <si>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</si>
  <si>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</si>
  <si>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</si>
  <si>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</si>
  <si>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</si>
  <si>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</si>
  <si>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</si>
  <si>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</si>
  <si>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</si>
  <si>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</si>
  <si>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</si>
  <si>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</si>
  <si>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</si>
  <si>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</si>
  <si>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</si>
  <si>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</si>
  <si>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</si>
  <si>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</si>
  <si>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</si>
  <si>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</si>
  <si>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</si>
  <si>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</si>
  <si>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</si>
  <si>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</si>
  <si>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</si>
  <si>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</si>
  <si>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</si>
  <si>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</si>
  <si>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</si>
  <si>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</si>
  <si>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</si>
  <si>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</si>
  <si>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</si>
  <si>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</si>
  <si>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</si>
  <si>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</si>
  <si>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</si>
  <si>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</si>
  <si>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</si>
  <si>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</si>
  <si>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</si>
  <si>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</si>
  <si>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</si>
  <si>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</si>
  <si>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</si>
  <si>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</si>
  <si>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</si>
  <si>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</si>
  <si>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</si>
  <si>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</si>
  <si>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</si>
  <si>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</si>
  <si>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</si>
  <si>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</si>
  <si>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</si>
  <si>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</si>
  <si>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</si>
  <si>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</si>
  <si>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</si>
  <si>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</si>
  <si>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</si>
  <si>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</si>
  <si>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</si>
  <si>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</si>
  <si>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</si>
  <si>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</si>
  <si>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</si>
  <si>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</si>
  <si>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</si>
  <si>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</si>
  <si>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</si>
  <si>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</si>
  <si>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</si>
  <si>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</si>
  <si>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</si>
  <si>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</si>
  <si>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</si>
  <si>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</si>
  <si>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</si>
  <si>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</si>
  <si>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</si>
  <si>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</si>
  <si>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</si>
  <si>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</si>
  <si>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</si>
  <si>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</si>
  <si>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</si>
  <si>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</si>
  <si>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</si>
  <si>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</si>
  <si>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</si>
  <si>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</si>
  <si>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</si>
  <si>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</si>
  <si>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</si>
  <si>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</si>
  <si>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</si>
  <si>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</si>
  <si>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</si>
  <si>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</si>
  <si>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</si>
  <si>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</si>
  <si>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</si>
  <si>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</si>
  <si>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</si>
  <si>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</si>
  <si>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</si>
  <si>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</si>
  <si>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</si>
  <si>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</si>
  <si>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</si>
  <si>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</si>
  <si>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</si>
  <si>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</si>
  <si>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</si>
  <si>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</si>
  <si>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</si>
  <si>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</si>
  <si>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</si>
  <si>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</si>
  <si>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</si>
  <si>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</si>
  <si>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</si>
  <si>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</si>
  <si>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</si>
  <si>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</si>
  <si>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</si>
  <si>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</si>
  <si>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</si>
  <si>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</si>
  <si>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</si>
  <si>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</si>
  <si>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</si>
  <si>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</si>
  <si>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</si>
  <si>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</si>
  <si>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</si>
  <si>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</si>
  <si>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</si>
  <si>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</si>
  <si>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</si>
  <si>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</si>
  <si>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</si>
  <si>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</si>
  <si>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</si>
  <si>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</si>
  <si>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</si>
  <si>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</si>
  <si>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</si>
  <si>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</si>
  <si>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</si>
  <si>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</si>
  <si>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</si>
  <si>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</si>
  <si>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</si>
  <si>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</si>
  <si>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</si>
  <si>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</si>
  <si>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</si>
  <si>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</si>
  <si>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</si>
  <si>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</si>
  <si>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</si>
  <si>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</si>
  <si>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</si>
  <si>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</si>
  <si>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</si>
  <si>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</si>
  <si>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</si>
  <si>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</si>
  <si>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</si>
  <si>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</si>
  <si>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</si>
  <si>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</si>
  <si>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</si>
  <si>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</si>
  <si>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</si>
  <si>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</si>
  <si>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</si>
  <si>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</si>
  <si>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</si>
  <si>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</si>
  <si>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</si>
  <si>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</si>
  <si>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</si>
  <si>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</si>
  <si>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</si>
  <si>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</si>
  <si>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</si>
  <si>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</si>
  <si>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</si>
  <si>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</si>
  <si>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</si>
  <si>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</si>
  <si>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</si>
  <si>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</si>
  <si>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</si>
  <si>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</si>
  <si>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</si>
  <si>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</si>
  <si>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</si>
  <si>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</si>
  <si>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</si>
  <si>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</si>
  <si>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</si>
  <si>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</si>
  <si>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</si>
  <si>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</si>
  <si>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</si>
  <si>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</si>
  <si>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</si>
  <si>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</si>
  <si>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</si>
  <si>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</si>
  <si>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</si>
  <si>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</si>
  <si>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</si>
  <si>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</si>
  <si>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</si>
  <si>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</si>
  <si>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</si>
  <si>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</si>
  <si>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</si>
  <si>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</si>
  <si>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</si>
  <si>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</si>
  <si>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</si>
  <si>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</si>
  <si>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</si>
  <si>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</si>
  <si>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</si>
  <si>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</si>
  <si>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</si>
  <si>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</si>
  <si>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</si>
  <si>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</si>
  <si>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</si>
  <si>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</si>
  <si>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</si>
  <si>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</si>
  <si>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</si>
  <si>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</si>
  <si>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</si>
  <si>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</si>
  <si>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</si>
  <si>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</si>
  <si>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</si>
  <si>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</si>
  <si>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</si>
  <si>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</si>
  <si>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</si>
  <si>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</si>
  <si>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</si>
  <si>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</si>
  <si>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</si>
  <si>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</si>
  <si>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</si>
  <si>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</si>
  <si>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</si>
  <si>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</si>
  <si>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</si>
  <si>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</si>
  <si>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</si>
  <si>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</si>
  <si>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</si>
  <si>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</si>
  <si>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</si>
  <si>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</si>
  <si>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</si>
  <si>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</si>
  <si>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</si>
  <si>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</si>
  <si>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</si>
  <si>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</si>
  <si>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</si>
  <si>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</si>
  <si>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</si>
  <si>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</si>
  <si>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</si>
  <si>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</si>
  <si>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</si>
  <si>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</si>
  <si>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</si>
  <si>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</si>
  <si>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</si>
  <si>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</si>
  <si>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</si>
  <si>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</si>
  <si>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</si>
  <si>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</si>
  <si>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</si>
  <si>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</si>
  <si>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</si>
  <si>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</si>
  <si>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</si>
  <si>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</si>
  <si>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</si>
  <si>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</si>
  <si>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</si>
  <si>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</si>
  <si>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</si>
  <si>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</si>
  <si>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</si>
  <si>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</si>
  <si>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</si>
  <si>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</si>
  <si>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</si>
  <si>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</si>
  <si>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</si>
  <si>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</si>
  <si>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</si>
  <si>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</si>
  <si>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</si>
  <si>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</si>
  <si>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</si>
  <si>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</si>
  <si>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</si>
  <si>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</si>
  <si>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</si>
  <si>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</si>
  <si>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</si>
  <si>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</si>
  <si>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</si>
  <si>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</si>
  <si>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</si>
  <si>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</si>
  <si>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</si>
  <si>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</si>
  <si>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</si>
  <si>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</si>
  <si>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</si>
  <si>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</si>
  <si>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</si>
  <si>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</si>
  <si>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</si>
  <si>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</si>
  <si>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</si>
  <si>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</si>
  <si>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</si>
  <si>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</si>
  <si>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</si>
  <si>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</si>
  <si>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</si>
  <si>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</si>
  <si>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</si>
  <si>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</si>
  <si>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</si>
  <si>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</si>
  <si>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</si>
  <si>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</si>
  <si>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</si>
  <si>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</si>
  <si>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</si>
  <si>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</si>
  <si>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</si>
  <si>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</si>
  <si>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</si>
  <si>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</si>
  <si>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</si>
  <si>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</si>
  <si>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</si>
  <si>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</si>
  <si>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</si>
  <si>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</si>
  <si>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</si>
  <si>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</si>
  <si>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</si>
  <si>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</si>
  <si>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</si>
  <si>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</si>
  <si>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</si>
  <si>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</si>
  <si>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</si>
  <si>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</si>
  <si>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</si>
  <si>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</si>
  <si>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</si>
  <si>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</si>
  <si>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</si>
  <si>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</si>
  <si>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</si>
  <si>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</si>
  <si>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</si>
  <si>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</si>
  <si>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</si>
  <si>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</si>
  <si>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</si>
  <si>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</si>
  <si>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</si>
  <si>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</si>
  <si>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</si>
  <si>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</si>
  <si>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</si>
  <si>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</si>
  <si>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</si>
  <si>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</si>
  <si>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</si>
  <si>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</si>
  <si>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</si>
  <si>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</si>
  <si>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</si>
  <si>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</si>
  <si>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</si>
  <si>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</si>
  <si>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</si>
  <si>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</si>
  <si>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</si>
  <si>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</si>
  <si>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</si>
  <si>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</si>
  <si>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</si>
  <si>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</si>
  <si>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</si>
  <si>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</si>
  <si>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</si>
  <si>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</si>
  <si>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</si>
  <si>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</si>
  <si>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</si>
  <si>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</si>
  <si>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</si>
  <si>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</si>
  <si>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</si>
  <si>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</si>
  <si>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</si>
  <si>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</si>
  <si>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</si>
  <si>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</si>
  <si>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</si>
  <si>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</si>
  <si>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</si>
  <si>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</si>
  <si>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</si>
  <si>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</si>
  <si>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</si>
  <si>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</si>
  <si>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</si>
  <si>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</si>
  <si>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</si>
  <si>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</si>
  <si>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</si>
  <si>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</si>
  <si>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</si>
  <si>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</si>
  <si>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</si>
  <si>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</si>
  <si>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</si>
  <si>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</si>
  <si>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</si>
  <si>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</si>
  <si>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</si>
  <si>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</si>
  <si>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</si>
  <si>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</si>
  <si>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</si>
  <si>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</si>
  <si>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</si>
  <si>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</si>
  <si>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</si>
  <si>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</si>
  <si>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</si>
  <si>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</si>
  <si>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</si>
  <si>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</si>
  <si>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</si>
  <si>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</si>
  <si>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</si>
  <si>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</si>
  <si>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</si>
  <si>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</si>
  <si>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</si>
  <si>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</si>
  <si>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</si>
  <si>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</si>
  <si>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</si>
  <si>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</si>
  <si>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</si>
  <si>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</si>
  <si>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</si>
  <si>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</si>
  <si>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</si>
  <si>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</si>
  <si>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</si>
  <si>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</si>
  <si>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</si>
  <si>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</si>
  <si>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</si>
  <si>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</si>
  <si>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</si>
  <si>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</si>
  <si>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</si>
  <si>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</si>
  <si>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</si>
  <si>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</si>
  <si>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</si>
  <si>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</si>
  <si>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</si>
  <si>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</si>
  <si>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</si>
  <si>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</si>
  <si>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</si>
  <si>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</si>
  <si>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</si>
  <si>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</si>
  <si>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</si>
  <si>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</si>
  <si>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</si>
  <si>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</si>
  <si>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</si>
  <si>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</si>
  <si>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</si>
  <si>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</si>
  <si>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</si>
  <si>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</si>
  <si>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</si>
  <si>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</si>
  <si>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</si>
  <si>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</si>
  <si>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</si>
  <si>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</si>
  <si>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</si>
  <si>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</si>
  <si>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</si>
  <si>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</si>
  <si>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</si>
  <si>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</si>
  <si>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</si>
  <si>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</si>
  <si>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</si>
  <si>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</si>
  <si>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</si>
  <si>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</si>
  <si>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</si>
  <si>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</si>
  <si>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</si>
  <si>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</si>
  <si>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</si>
  <si>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</si>
  <si>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</si>
  <si>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</si>
  <si>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</si>
  <si>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</si>
  <si>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</si>
  <si>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</si>
  <si>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</si>
  <si>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</si>
  <si>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</si>
  <si>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</si>
  <si>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</si>
  <si>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</si>
  <si>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</si>
  <si>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</si>
  <si>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</si>
  <si>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</si>
  <si>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</si>
  <si>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</si>
  <si>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</si>
  <si>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</si>
  <si>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</si>
  <si>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</si>
  <si>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</si>
  <si>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</si>
  <si>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</si>
  <si>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</si>
  <si>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</si>
  <si>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</si>
  <si>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</si>
  <si>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</si>
  <si>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</si>
  <si>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</si>
  <si>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</si>
  <si>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</si>
  <si>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</si>
  <si>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</si>
  <si>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</si>
  <si>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</si>
  <si>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</si>
  <si>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</si>
  <si>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</si>
  <si>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</si>
  <si>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</si>
  <si>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</si>
  <si>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</si>
  <si>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</si>
  <si>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</si>
  <si>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</si>
  <si>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</si>
  <si>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</si>
  <si>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</si>
  <si>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</si>
  <si>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</si>
  <si>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</si>
  <si>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</si>
  <si>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</si>
  <si>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</si>
  <si>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</si>
  <si>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</si>
  <si>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</si>
  <si>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</si>
  <si>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</si>
  <si>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</si>
  <si>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</si>
  <si>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</si>
  <si>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</si>
  <si>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</si>
  <si>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</si>
  <si>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</si>
  <si>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</si>
  <si>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</si>
  <si>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</si>
  <si>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</si>
  <si>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</si>
  <si>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</si>
  <si>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</si>
  <si>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</si>
  <si>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</si>
  <si>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</si>
  <si>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</si>
  <si>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</si>
  <si>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</si>
  <si>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</si>
  <si>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</si>
  <si>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</si>
  <si>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</si>
  <si>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</si>
  <si>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</si>
  <si>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</si>
  <si>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</si>
  <si>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</si>
  <si>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</si>
  <si>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</si>
  <si>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</si>
  <si>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</si>
  <si>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</si>
  <si>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</si>
  <si>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</si>
  <si>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</si>
  <si>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</si>
  <si>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</si>
  <si>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</si>
  <si>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</si>
  <si>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</si>
  <si>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</si>
  <si>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</si>
  <si>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</si>
  <si>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</si>
  <si>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</si>
  <si>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</si>
  <si>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</si>
  <si>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</si>
  <si>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</si>
  <si>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</si>
  <si>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</si>
  <si>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</si>
  <si>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</si>
  <si>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</si>
  <si>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</si>
  <si>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</si>
  <si>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</si>
  <si>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</si>
  <si>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</si>
  <si>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</si>
  <si>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</si>
  <si>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</si>
  <si>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</si>
  <si>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</si>
  <si>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</si>
  <si>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</si>
  <si>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</si>
  <si>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</si>
  <si>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</si>
  <si>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</si>
  <si>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</si>
  <si>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</si>
  <si>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</si>
  <si>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</si>
  <si>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</si>
  <si>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</si>
  <si>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</si>
  <si>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</si>
  <si>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</si>
  <si>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</si>
  <si>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</si>
  <si>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</si>
  <si>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</si>
  <si>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</si>
  <si>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</si>
  <si>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</si>
  <si>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</si>
  <si>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</si>
  <si>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</si>
  <si>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</si>
  <si>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</si>
  <si>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</si>
  <si>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</si>
  <si>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</si>
  <si>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</si>
  <si>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</si>
  <si>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</si>
  <si>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</si>
  <si>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</si>
  <si>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</si>
  <si>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</si>
  <si>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</si>
  <si>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</si>
  <si>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</si>
  <si>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</si>
  <si>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</si>
  <si>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</si>
  <si>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</si>
  <si>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</si>
  <si>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</si>
  <si>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</si>
  <si>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</si>
  <si>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</si>
  <si>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</si>
  <si>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</si>
  <si>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</si>
  <si>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</si>
  <si>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</si>
  <si>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</si>
  <si>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</si>
  <si>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</si>
  <si>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</si>
  <si>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</si>
  <si>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</si>
  <si>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</si>
  <si>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</si>
  <si>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</si>
  <si>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</si>
  <si>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</si>
  <si>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</si>
  <si>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</si>
  <si>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</si>
  <si>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</si>
  <si>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</si>
  <si>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</si>
  <si>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</si>
  <si>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</si>
  <si>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</si>
  <si>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</si>
  <si>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</si>
  <si>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</si>
  <si>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</si>
  <si>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</si>
  <si>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</si>
  <si>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</si>
  <si>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</si>
  <si>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</si>
  <si>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</si>
  <si>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</si>
  <si>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</si>
  <si>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</si>
  <si>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</si>
  <si>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</si>
  <si>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</si>
  <si>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</si>
  <si>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</si>
  <si>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</si>
  <si>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</si>
  <si>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</si>
  <si>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</si>
  <si>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</si>
  <si>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</si>
  <si>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</si>
  <si>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</si>
  <si>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</si>
  <si>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</si>
  <si>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</si>
  <si>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</si>
  <si>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</si>
  <si>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</si>
  <si>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</si>
  <si>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</si>
  <si>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</si>
  <si>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</si>
  <si>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</si>
  <si>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</si>
  <si>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</si>
  <si>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</si>
  <si>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</si>
  <si>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</si>
  <si>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</si>
  <si>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</si>
  <si>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</si>
  <si>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</si>
  <si>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</si>
  <si>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</si>
  <si>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</si>
  <si>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</si>
  <si>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</si>
  <si>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</si>
  <si>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</si>
  <si>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</si>
  <si>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</si>
  <si>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</si>
  <si>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</si>
  <si>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</si>
  <si>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</si>
  <si>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</si>
  <si>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</si>
  <si>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</si>
  <si>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</si>
  <si>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</si>
  <si>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</si>
  <si>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</si>
  <si>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</si>
  <si>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</si>
  <si>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</si>
  <si>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</si>
  <si>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</si>
  <si>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</si>
  <si>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</si>
  <si>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</si>
  <si>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</si>
  <si>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</si>
  <si>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</si>
  <si>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</si>
  <si>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</si>
  <si>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</si>
  <si>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</si>
  <si>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</si>
  <si>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</si>
  <si>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</si>
  <si>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</si>
  <si>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</si>
  <si>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</si>
  <si>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</si>
  <si>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</si>
  <si>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</si>
  <si>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</si>
  <si>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</si>
  <si>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</si>
  <si>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</si>
  <si>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</si>
  <si>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</si>
  <si>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</si>
  <si>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</si>
  <si>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</si>
  <si>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</si>
  <si>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</si>
  <si>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</si>
  <si>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</si>
  <si>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</si>
  <si>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</si>
  <si>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</si>
  <si>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</si>
  <si>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</si>
  <si>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</si>
  <si>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</si>
  <si>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</si>
  <si>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</si>
  <si>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</si>
  <si>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</si>
  <si>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</si>
  <si>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</si>
  <si>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</si>
  <si>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</si>
  <si>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</si>
  <si>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</si>
  <si>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</si>
  <si>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</si>
  <si>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</si>
  <si>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</si>
  <si>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</si>
  <si>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</si>
  <si>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</si>
  <si>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</si>
  <si>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</si>
  <si>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</si>
  <si>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</si>
  <si>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</si>
  <si>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</si>
  <si>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</si>
  <si>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</si>
  <si>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</si>
  <si>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</si>
  <si>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</si>
  <si>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</si>
  <si>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</si>
  <si>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</si>
  <si>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</si>
  <si>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</si>
  <si>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</si>
  <si>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</si>
  <si>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</si>
  <si>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</si>
  <si>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</si>
  <si>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</si>
  <si>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</si>
  <si>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</si>
  <si>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</si>
  <si>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</si>
  <si>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</si>
  <si>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</si>
  <si>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</si>
  <si>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</si>
  <si>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</si>
  <si>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</si>
  <si>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</si>
  <si>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</si>
  <si>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</si>
  <si>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</si>
  <si>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</si>
  <si>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</si>
  <si>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</si>
  <si>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</si>
  <si>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</si>
  <si>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</si>
  <si>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</si>
  <si>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</si>
  <si>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</si>
  <si>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</si>
  <si>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</si>
  <si>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</si>
  <si>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</si>
  <si>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</si>
  <si>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</si>
  <si>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</si>
  <si>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</si>
  <si>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</si>
  <si>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</si>
  <si>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</si>
  <si>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</si>
  <si>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</si>
  <si>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</si>
  <si>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</si>
  <si>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</si>
  <si>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</si>
  <si>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</si>
  <si>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</si>
  <si>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</si>
  <si>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</si>
  <si>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</si>
  <si>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</si>
  <si>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</si>
  <si>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</si>
  <si>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</si>
  <si>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</si>
  <si>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</si>
  <si>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</si>
  <si>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</si>
  <si>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</si>
  <si>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</si>
  <si>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</si>
  <si>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</si>
  <si>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</si>
  <si>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</si>
  <si>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</si>
  <si>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</si>
  <si>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</si>
  <si>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</si>
  <si>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</si>
  <si>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</si>
  <si>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</si>
  <si>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</si>
  <si>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</si>
  <si>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</si>
  <si>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</si>
  <si>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</si>
  <si>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</si>
  <si>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</si>
  <si>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</si>
  <si>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</si>
  <si>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</si>
  <si>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</si>
  <si>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</si>
  <si>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</si>
  <si>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</si>
  <si>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</si>
  <si>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</si>
  <si>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</si>
  <si>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</si>
  <si>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</si>
  <si>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</si>
  <si>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</si>
  <si>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</si>
  <si>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</si>
  <si>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</si>
  <si>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</si>
  <si>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</si>
  <si>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</si>
  <si>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</si>
  <si>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</si>
  <si>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</si>
  <si>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</si>
  <si>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</si>
  <si>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</si>
  <si>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</si>
  <si>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</si>
  <si>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</si>
  <si>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</si>
  <si>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</si>
  <si>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</si>
  <si>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</si>
  <si>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</si>
  <si>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</si>
  <si>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</si>
  <si>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</si>
  <si>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</si>
  <si>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</si>
  <si>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</si>
  <si>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</si>
  <si>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</si>
  <si>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</si>
  <si>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</si>
  <si>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</si>
  <si>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</si>
  <si>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</si>
  <si>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</si>
  <si>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</si>
  <si>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</si>
  <si>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</si>
  <si>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</si>
  <si>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</si>
  <si>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</si>
  <si>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</si>
  <si>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</si>
  <si>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</si>
  <si>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</si>
  <si>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</si>
  <si>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</si>
  <si>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</si>
  <si>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</si>
  <si>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</si>
  <si>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</si>
  <si>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</si>
  <si>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</si>
  <si>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</si>
  <si>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</si>
  <si>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</si>
  <si>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</si>
  <si>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</si>
  <si>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</si>
  <si>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</si>
  <si>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</si>
  <si>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</si>
  <si>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</si>
  <si>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</si>
  <si>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</si>
  <si>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</si>
  <si>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</si>
  <si>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</si>
  <si>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</si>
  <si>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</si>
  <si>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</si>
  <si>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</si>
  <si>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</si>
  <si>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</si>
  <si>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</si>
  <si>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</si>
  <si>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</si>
  <si>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</si>
  <si>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</si>
  <si>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</si>
  <si>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</si>
  <si>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</si>
  <si>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</si>
  <si>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</si>
  <si>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</si>
  <si>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</si>
  <si>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</si>
  <si>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</si>
  <si>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</si>
  <si>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</si>
  <si>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</si>
  <si>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</si>
  <si>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</si>
  <si>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</si>
  <si>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</si>
  <si>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</si>
  <si>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</si>
  <si>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</si>
  <si>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</si>
  <si>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</si>
  <si>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</si>
  <si>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</si>
  <si>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</si>
  <si>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</si>
  <si>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</si>
  <si>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</si>
  <si>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</si>
  <si>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</si>
  <si>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</si>
  <si>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</si>
  <si>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</si>
  <si>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</si>
  <si>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</si>
  <si>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</si>
  <si>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</si>
  <si>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</si>
  <si>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</si>
  <si>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</si>
  <si>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</si>
  <si>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</si>
  <si>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</si>
  <si>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</si>
  <si>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</si>
  <si>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</si>
  <si>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</si>
  <si>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</si>
  <si>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</si>
  <si>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</si>
  <si>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</si>
  <si>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</si>
  <si>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</si>
  <si>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</si>
  <si>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</si>
  <si>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</si>
  <si>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</si>
  <si>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</si>
  <si>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</si>
  <si>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</si>
  <si>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</si>
  <si>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</si>
  <si>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</si>
  <si>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</si>
  <si>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</si>
  <si>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</si>
  <si>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</si>
  <si>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</si>
  <si>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</si>
  <si>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</si>
  <si>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</si>
  <si>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</si>
  <si>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</si>
  <si>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</si>
  <si>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</si>
  <si>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</si>
  <si>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</si>
  <si>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</si>
  <si>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</si>
  <si>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</si>
  <si>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</si>
  <si>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</si>
  <si>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</si>
  <si>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</si>
  <si>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</si>
  <si>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</si>
  <si>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</si>
  <si>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</si>
  <si>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</si>
  <si>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</si>
  <si>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</si>
  <si>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</si>
  <si>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</si>
  <si>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</si>
  <si>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</si>
  <si>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</si>
  <si>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</si>
  <si>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</si>
  <si>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</si>
  <si>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</si>
  <si>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</si>
  <si>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</si>
  <si>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</si>
  <si>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</si>
  <si>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</si>
  <si>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</si>
  <si>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</si>
  <si>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</si>
  <si>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</si>
  <si>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</si>
  <si>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</si>
  <si>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</si>
  <si>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</si>
  <si>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</si>
  <si>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</si>
  <si>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</si>
  <si>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</si>
  <si>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</si>
  <si>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</si>
  <si>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</si>
  <si>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</si>
  <si>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</si>
  <si>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</si>
  <si>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</si>
  <si>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</si>
  <si>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</si>
  <si>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</si>
  <si>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</si>
  <si>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</si>
  <si>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</si>
  <si>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</si>
  <si>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</si>
  <si>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</si>
  <si>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</si>
  <si>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</si>
  <si>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</si>
  <si>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</si>
  <si>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</si>
  <si>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</si>
  <si>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</si>
  <si>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</si>
  <si>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</si>
  <si>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</si>
  <si>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</si>
  <si>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</si>
  <si>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</si>
  <si>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</si>
  <si>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</si>
  <si>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</si>
  <si>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</si>
  <si>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</si>
  <si>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</si>
  <si>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</si>
  <si>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</si>
  <si>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</si>
  <si>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</si>
  <si>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</si>
  <si>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</si>
  <si>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</si>
  <si>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</si>
  <si>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</si>
  <si>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</si>
  <si>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</si>
  <si>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</si>
  <si>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</si>
  <si>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</si>
  <si>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</si>
  <si>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</si>
  <si>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</si>
  <si>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</si>
  <si>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</si>
  <si>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</si>
  <si>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</si>
  <si>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</si>
  <si>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</si>
  <si>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</si>
  <si>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</si>
  <si>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</si>
  <si>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</si>
  <si>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</si>
  <si>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</si>
  <si>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</si>
  <si>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</si>
  <si>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</si>
  <si>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</si>
  <si>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</si>
  <si>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</si>
  <si>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</si>
  <si>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</si>
  <si>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</si>
  <si>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</si>
  <si>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</si>
  <si>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</si>
  <si>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</si>
  <si>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</si>
  <si>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</si>
  <si>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</si>
  <si>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</si>
  <si>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</si>
  <si>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</si>
  <si>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</si>
  <si>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</si>
  <si>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</si>
  <si>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</si>
  <si>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</si>
  <si>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</si>
  <si>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</si>
  <si>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</si>
  <si>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</si>
  <si>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</si>
  <si>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</si>
  <si>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</si>
  <si>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</si>
  <si>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</si>
  <si>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</si>
  <si>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</si>
  <si>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</si>
  <si>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</si>
  <si>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</si>
  <si>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</si>
  <si>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</si>
  <si>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</si>
  <si>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</si>
  <si>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</si>
  <si>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</si>
  <si>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</si>
  <si>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</si>
  <si>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</si>
  <si>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</si>
  <si>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</si>
  <si>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</si>
  <si>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</si>
  <si>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</si>
  <si>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</si>
  <si>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</si>
  <si>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</si>
  <si>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</si>
  <si>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</si>
  <si>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</si>
  <si>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</si>
  <si>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</si>
  <si>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</si>
  <si>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</si>
  <si>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</si>
  <si>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</si>
  <si>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</si>
  <si>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</si>
  <si>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</si>
  <si>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</si>
  <si>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</si>
  <si>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</si>
  <si>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</si>
  <si>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</si>
  <si>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</si>
  <si>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</si>
  <si>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</si>
  <si>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</si>
  <si>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</si>
  <si>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</si>
  <si>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</si>
  <si>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</si>
  <si>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</si>
  <si>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</si>
  <si>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</si>
  <si>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</si>
  <si>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</si>
  <si>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</si>
  <si>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</si>
  <si>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</si>
  <si>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</si>
  <si>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</si>
  <si>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</si>
  <si>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</si>
  <si>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</si>
  <si>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</si>
  <si>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</si>
  <si>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</si>
  <si>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</si>
  <si>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</si>
  <si>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</si>
  <si>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</si>
  <si>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</si>
  <si>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</si>
  <si>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</si>
  <si>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</si>
  <si>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</si>
  <si>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</si>
  <si>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</si>
  <si>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</si>
  <si>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</si>
  <si>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</si>
  <si>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</si>
  <si>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</si>
  <si>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</si>
  <si>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</si>
  <si>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</si>
  <si>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</si>
  <si>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</si>
  <si>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</si>
  <si>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</si>
  <si>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</si>
  <si>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</si>
  <si>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</si>
  <si>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</si>
  <si>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</si>
  <si>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</si>
  <si>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</si>
  <si>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</si>
  <si>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</si>
  <si>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</si>
  <si>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</si>
  <si>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</si>
  <si>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</si>
  <si>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</si>
  <si>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</si>
  <si>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</si>
  <si>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</si>
  <si>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</si>
  <si>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</si>
  <si>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</si>
  <si>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</si>
  <si>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</si>
  <si>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</si>
  <si>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</si>
  <si>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</si>
  <si>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</si>
  <si>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</si>
  <si>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</si>
  <si>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</si>
  <si>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</si>
  <si>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</si>
  <si>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</si>
  <si>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</si>
  <si>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</si>
  <si>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</si>
  <si>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</si>
  <si>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</si>
  <si>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</si>
  <si>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</si>
  <si>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</si>
  <si>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</si>
  <si>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</si>
  <si>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</si>
  <si>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</si>
  <si>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</si>
  <si>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</si>
  <si>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</si>
  <si>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</si>
  <si>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</si>
  <si>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</si>
  <si>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</si>
  <si>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</si>
  <si>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</si>
  <si>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</si>
  <si>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</si>
  <si>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</si>
  <si>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</si>
  <si>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</si>
  <si>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</si>
  <si>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</si>
  <si>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</si>
  <si>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</si>
  <si>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</si>
  <si>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</si>
  <si>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</si>
  <si>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</si>
  <si>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</si>
  <si>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</si>
  <si>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</si>
  <si>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</si>
  <si>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</si>
  <si>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</si>
  <si>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</si>
  <si>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</si>
  <si>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</si>
  <si>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</si>
  <si>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</si>
  <si>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</si>
  <si>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</si>
  <si>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</si>
  <si>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</si>
  <si>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</si>
  <si>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</si>
  <si>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</si>
  <si>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</si>
  <si>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</si>
  <si>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</si>
  <si>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</si>
  <si>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</si>
  <si>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</si>
  <si>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</si>
  <si>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</si>
  <si>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</si>
  <si>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</si>
  <si>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</si>
  <si>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</si>
  <si>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</si>
  <si>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</si>
  <si>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</si>
  <si>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</si>
  <si>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</si>
  <si>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</si>
  <si>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</si>
  <si>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</si>
  <si>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</si>
  <si>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</si>
  <si>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</si>
  <si>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</si>
  <si>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</si>
  <si>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</si>
  <si>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</si>
  <si>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</si>
  <si>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</si>
  <si>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</si>
  <si>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</si>
  <si>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</si>
  <si>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</si>
  <si>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</si>
  <si>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</si>
  <si>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</si>
  <si>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</si>
  <si>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</si>
  <si>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</si>
  <si>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</si>
  <si>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</si>
  <si>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</si>
  <si>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</si>
  <si>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</si>
  <si>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</si>
  <si>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</si>
  <si>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</si>
  <si>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</si>
  <si>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</si>
  <si>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</si>
  <si>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</si>
  <si>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</si>
  <si>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</si>
  <si>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</si>
  <si>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</si>
  <si>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</si>
  <si>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</si>
  <si>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</si>
  <si>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</si>
  <si>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</si>
  <si>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</si>
  <si>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</si>
  <si>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</si>
  <si>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</si>
  <si>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</si>
  <si>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</si>
  <si>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</si>
  <si>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</si>
  <si>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</si>
  <si>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</si>
  <si>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</si>
  <si>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</si>
  <si>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</si>
  <si>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</si>
  <si>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</si>
  <si>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</si>
  <si>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</si>
  <si>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</si>
  <si>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</si>
  <si>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</si>
  <si>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</si>
  <si>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</si>
  <si>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</si>
  <si>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</si>
  <si>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</si>
  <si>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</si>
  <si>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</si>
  <si>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</si>
  <si>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</si>
  <si>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</si>
  <si>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</si>
  <si>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</si>
  <si>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</si>
  <si>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</si>
  <si>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</si>
  <si>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</si>
  <si>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</si>
  <si>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</si>
  <si>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</si>
  <si>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</si>
  <si>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</si>
  <si>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</si>
  <si>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</si>
  <si>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</si>
  <si>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</si>
  <si>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</si>
  <si>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</si>
  <si>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</si>
  <si>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</si>
  <si>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</si>
  <si>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</si>
  <si>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</si>
  <si>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</si>
  <si>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</si>
  <si>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</si>
  <si>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</si>
  <si>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</si>
  <si>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</si>
  <si>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</si>
  <si>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</si>
  <si>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</si>
  <si>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</si>
  <si>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</si>
  <si>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</si>
  <si>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</si>
  <si>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</si>
  <si>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</si>
  <si>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</si>
  <si>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</si>
  <si>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</si>
  <si>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</si>
  <si>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</si>
  <si>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</si>
  <si>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</si>
  <si>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</si>
  <si>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</si>
  <si>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</si>
  <si>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</si>
  <si>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</si>
  <si>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</si>
  <si>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</si>
  <si>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</si>
  <si>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</si>
  <si>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</si>
  <si>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</si>
  <si>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</si>
  <si>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</si>
  <si>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</si>
  <si>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</si>
  <si>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</si>
  <si>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</si>
  <si>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</si>
  <si>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</si>
  <si>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</si>
  <si>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</si>
  <si>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</si>
  <si>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</si>
  <si>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</si>
  <si>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</si>
  <si>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</si>
  <si>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</si>
  <si>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</si>
  <si>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</si>
  <si>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</si>
  <si>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</si>
  <si>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</si>
  <si>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</si>
  <si>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</si>
  <si>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</si>
  <si>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</si>
  <si>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</si>
  <si>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</si>
  <si>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</si>
  <si>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</si>
  <si>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</si>
  <si>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</si>
  <si>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</si>
  <si>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</si>
  <si>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</si>
  <si>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</si>
  <si>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</si>
  <si>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</si>
  <si>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</si>
  <si>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</si>
  <si>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</si>
  <si>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</si>
  <si>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</si>
  <si>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</si>
  <si>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</si>
  <si>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</si>
  <si>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</si>
  <si>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</si>
  <si>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</si>
  <si>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</si>
  <si>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</si>
  <si>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</si>
  <si>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</si>
  <si>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</si>
  <si>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</si>
  <si>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</si>
  <si>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</si>
  <si>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</si>
  <si>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</si>
  <si>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</si>
  <si>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</si>
  <si>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</si>
  <si>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</si>
  <si>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</si>
  <si>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</si>
  <si>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</si>
  <si>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</si>
  <si>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</si>
  <si>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</si>
  <si>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</si>
  <si>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</si>
  <si>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</si>
  <si>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</si>
  <si>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</si>
  <si>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</si>
  <si>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</si>
  <si>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</si>
  <si>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</si>
  <si>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</si>
  <si>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</si>
  <si>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</si>
  <si>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</si>
  <si>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</si>
  <si>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</si>
  <si>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</si>
  <si>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</si>
  <si>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</si>
  <si>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</si>
  <si>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</si>
  <si>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</si>
  <si>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</si>
  <si>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</si>
  <si>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</si>
  <si>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</si>
  <si>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</si>
  <si>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</si>
  <si>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</si>
  <si>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</si>
  <si>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</si>
  <si>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</si>
  <si>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</si>
  <si>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</si>
  <si>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</si>
  <si>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</si>
  <si>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</si>
  <si>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</si>
  <si>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</si>
  <si>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</si>
  <si>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</si>
  <si>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</si>
  <si>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</si>
  <si>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</si>
  <si>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</si>
  <si>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</si>
  <si>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</si>
  <si>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</si>
  <si>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</si>
  <si>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</si>
  <si>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</si>
  <si>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</si>
  <si>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</si>
  <si>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</si>
  <si>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</si>
  <si>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</si>
  <si>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</si>
  <si>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</si>
  <si>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</si>
  <si>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</si>
  <si>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</si>
  <si>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</si>
  <si>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</si>
  <si>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</si>
  <si>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</si>
  <si>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</si>
  <si>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</si>
  <si>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</si>
  <si>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</si>
  <si>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</si>
  <si>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</si>
  <si>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</si>
  <si>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</si>
  <si>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</si>
  <si>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</si>
  <si>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</si>
  <si>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</si>
  <si>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</si>
  <si>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</si>
  <si>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</si>
  <si>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</si>
  <si>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</si>
  <si>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</si>
  <si>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</si>
  <si>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</si>
  <si>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</si>
  <si>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</si>
  <si>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</si>
  <si>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</si>
  <si>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</si>
  <si>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</si>
  <si>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</si>
  <si>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</si>
  <si>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</si>
  <si>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</si>
  <si>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</si>
  <si>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</si>
  <si>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</si>
  <si>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</si>
  <si>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</si>
  <si>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</si>
  <si>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</si>
  <si>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</si>
  <si>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</si>
  <si>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</si>
  <si>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</si>
  <si>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</si>
  <si>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</si>
  <si>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</si>
  <si>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</si>
  <si>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</si>
  <si>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</si>
  <si>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</si>
  <si>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</si>
  <si>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</si>
  <si>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</si>
  <si>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</si>
  <si>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</si>
  <si>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</si>
  <si>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</si>
  <si>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</si>
  <si>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</si>
  <si>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</si>
  <si>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</si>
  <si>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</si>
  <si>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</si>
  <si>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</si>
  <si>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</si>
  <si>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</si>
  <si>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</si>
  <si>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</si>
  <si>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</si>
  <si>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</si>
  <si>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</si>
  <si>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</si>
  <si>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</si>
  <si>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</si>
  <si>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</si>
  <si>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</si>
  <si>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</si>
  <si>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</si>
  <si>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</si>
  <si>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</si>
  <si>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</si>
  <si>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</si>
  <si>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</si>
  <si>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</si>
  <si>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</si>
  <si>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</si>
  <si>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</si>
  <si>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</si>
  <si>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</si>
  <si>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</si>
  <si>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</si>
  <si>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</si>
  <si>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</si>
  <si>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</si>
  <si>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</si>
  <si>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</si>
  <si>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</si>
  <si>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</si>
  <si>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</si>
  <si>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</si>
  <si>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</si>
  <si>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</si>
  <si>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</si>
  <si>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</si>
  <si>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</si>
  <si>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</si>
  <si>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</si>
  <si>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</si>
  <si>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</si>
  <si>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</si>
  <si>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</si>
  <si>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</si>
  <si>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</si>
  <si>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</si>
  <si>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</si>
  <si>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</si>
  <si>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</si>
  <si>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</si>
  <si>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</si>
  <si>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</si>
  <si>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</si>
  <si>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</si>
  <si>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</si>
  <si>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</si>
  <si>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</si>
  <si>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</si>
  <si>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</si>
  <si>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</si>
  <si>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</si>
  <si>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</si>
  <si>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</si>
  <si>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</si>
  <si>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</si>
  <si>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</si>
  <si>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</si>
  <si>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</si>
  <si>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</si>
  <si>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</si>
  <si>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</si>
  <si>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</si>
  <si>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</si>
  <si>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</si>
  <si>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</si>
  <si>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</si>
  <si>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</si>
  <si>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</si>
  <si>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</si>
  <si>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</si>
  <si>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</si>
  <si>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</si>
  <si>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</si>
  <si>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</si>
  <si>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</si>
  <si>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</si>
  <si>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</si>
  <si>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</si>
  <si>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</si>
  <si>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</si>
  <si>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</si>
  <si>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</si>
  <si>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</si>
  <si>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</si>
  <si>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</si>
  <si>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</si>
  <si>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</si>
  <si>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</si>
  <si>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</si>
  <si>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</si>
  <si>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</si>
  <si>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</si>
  <si>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</si>
  <si>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</si>
  <si>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</si>
  <si>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</si>
  <si>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</si>
  <si>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</si>
  <si>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</si>
  <si>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</si>
  <si>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</si>
  <si>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</si>
  <si>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</si>
  <si>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</si>
  <si>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</si>
  <si>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</si>
  <si>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</si>
  <si>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</si>
  <si>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</si>
  <si>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</si>
  <si>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</si>
  <si>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</si>
  <si>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</si>
  <si>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</si>
  <si>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</si>
  <si>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</si>
  <si>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</si>
  <si>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</si>
  <si>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</si>
  <si>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</si>
  <si>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</si>
  <si>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</si>
  <si>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</si>
  <si>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</si>
  <si>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</si>
  <si>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</si>
  <si>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</si>
  <si>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</si>
  <si>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</si>
  <si>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</si>
  <si>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</si>
  <si>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</si>
  <si>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</si>
  <si>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</si>
  <si>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</si>
  <si>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</si>
  <si>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</si>
  <si>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</si>
  <si>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</si>
  <si>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</si>
  <si>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</si>
  <si>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</si>
  <si>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</si>
  <si>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</si>
  <si>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</si>
  <si>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</si>
  <si>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</si>
  <si>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</si>
  <si>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</si>
  <si>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</si>
  <si>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</si>
  <si>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</si>
  <si>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</si>
  <si>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</si>
  <si>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</si>
  <si>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</si>
  <si>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</si>
  <si>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</si>
  <si>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</si>
  <si>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</si>
  <si>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</si>
  <si>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</si>
  <si>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</si>
  <si>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</si>
  <si>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</si>
  <si>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</si>
  <si>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</si>
  <si>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</si>
  <si>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</si>
  <si>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</si>
  <si>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</si>
  <si>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</si>
  <si>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</si>
  <si>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</si>
  <si>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</si>
  <si>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</si>
  <si>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</si>
  <si>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</si>
  <si>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</si>
  <si>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</si>
  <si>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</si>
  <si>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</si>
  <si>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</si>
  <si>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</si>
  <si>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</si>
  <si>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</si>
  <si>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</si>
  <si>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</si>
  <si>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</si>
  <si>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</si>
  <si>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</si>
  <si>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</si>
  <si>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</si>
  <si>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</si>
  <si>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</si>
  <si>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</si>
  <si>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</si>
  <si>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</si>
  <si>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</si>
  <si>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</si>
  <si>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</si>
  <si>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</si>
  <si>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</si>
  <si>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</si>
  <si>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</si>
  <si>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</si>
  <si>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</si>
  <si>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</si>
  <si>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</si>
  <si>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</si>
  <si>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</si>
  <si>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</si>
  <si>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</si>
  <si>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</si>
  <si>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</si>
  <si>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</si>
  <si>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</si>
  <si>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</si>
  <si>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</si>
  <si>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</si>
  <si>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</si>
  <si>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</si>
  <si>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</si>
  <si>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</si>
  <si>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</si>
  <si>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</si>
  <si>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</si>
  <si>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</si>
  <si>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</si>
  <si>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</si>
  <si>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</si>
  <si>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</si>
  <si>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</si>
  <si>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</si>
  <si>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</si>
  <si>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</si>
  <si>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</si>
  <si>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</si>
  <si>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</si>
  <si>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</si>
  <si>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</si>
  <si>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</si>
  <si>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</si>
  <si>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</si>
  <si>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</si>
  <si>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</si>
  <si>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</si>
  <si>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</si>
  <si>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</si>
  <si>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</si>
  <si>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</si>
  <si>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</si>
  <si>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</si>
  <si>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</si>
  <si>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</si>
  <si>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</si>
  <si>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</si>
  <si>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</si>
  <si>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</si>
  <si>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</si>
  <si>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</si>
  <si>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</si>
  <si>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</si>
  <si>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</si>
  <si>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</si>
  <si>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</si>
  <si>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</si>
  <si>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</si>
  <si>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</si>
  <si>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</si>
  <si>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</si>
  <si>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</si>
  <si>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</si>
  <si>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</si>
  <si>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</si>
  <si>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</si>
  <si>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</si>
  <si>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</si>
  <si>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</si>
  <si>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</si>
  <si>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</si>
  <si>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</si>
  <si>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</si>
  <si>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</si>
  <si>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</si>
  <si>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</si>
  <si>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</si>
  <si>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</si>
  <si>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</si>
  <si>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</si>
  <si>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</si>
  <si>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</si>
  <si>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</si>
  <si>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</si>
  <si>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</si>
  <si>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</si>
  <si>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</si>
  <si>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</si>
  <si>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</si>
  <si>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</si>
  <si>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</si>
  <si>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</si>
  <si>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</si>
  <si>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</si>
  <si>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</si>
  <si>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</si>
  <si>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</si>
  <si>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</si>
  <si>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</si>
  <si>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</si>
  <si>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</si>
  <si>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</si>
  <si>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</si>
  <si>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</si>
  <si>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</si>
  <si>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</si>
  <si>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</si>
  <si>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</si>
  <si>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</si>
  <si>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</si>
  <si>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</si>
  <si>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</si>
  <si>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</si>
  <si>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</si>
  <si>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</si>
  <si>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</si>
  <si>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</si>
  <si>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</si>
  <si>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</si>
  <si>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</si>
  <si>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</si>
  <si>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</si>
  <si>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</si>
  <si>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</si>
  <si>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</si>
  <si>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</si>
  <si>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</si>
  <si>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</si>
  <si>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</si>
  <si>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</si>
  <si>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</si>
  <si>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</si>
  <si>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</si>
  <si>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</si>
  <si>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</si>
  <si>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</si>
  <si>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</si>
  <si>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</si>
  <si>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</si>
  <si>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</si>
  <si>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</si>
  <si>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</si>
  <si>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</si>
  <si>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</si>
  <si>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</si>
  <si>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</si>
  <si>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</si>
  <si>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</si>
  <si>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</si>
  <si>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</si>
  <si>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</si>
  <si>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</si>
  <si>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</si>
  <si>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</si>
  <si>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</si>
  <si>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</si>
  <si>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</si>
  <si>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</si>
  <si>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</si>
  <si>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</si>
  <si>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</si>
  <si>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</si>
  <si>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</si>
  <si>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</si>
  <si>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</si>
  <si>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</si>
  <si>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</si>
  <si>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</si>
  <si>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</si>
  <si>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</si>
  <si>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</si>
  <si>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</si>
  <si>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</si>
  <si>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</si>
  <si>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</si>
  <si>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</si>
  <si>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</si>
  <si>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</si>
  <si>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</si>
  <si>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</si>
  <si>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</si>
  <si>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</si>
  <si>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</si>
  <si>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</si>
  <si>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</si>
  <si>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</si>
  <si>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</si>
  <si>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</si>
  <si>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</si>
  <si>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</si>
  <si>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</si>
  <si>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</si>
  <si>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</si>
  <si>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</si>
  <si>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</si>
  <si>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</si>
  <si>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</si>
  <si>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</si>
  <si>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</si>
  <si>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</si>
  <si>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</si>
  <si>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</si>
  <si>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</si>
  <si>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</si>
  <si>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</si>
  <si>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</si>
  <si>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</si>
  <si>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</si>
  <si>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</si>
  <si>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</si>
  <si>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</si>
  <si>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</si>
  <si>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</si>
  <si>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</si>
  <si>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</si>
  <si>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</si>
  <si>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</si>
  <si>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</si>
  <si>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</si>
  <si>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</si>
  <si>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</si>
  <si>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</si>
  <si>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</si>
  <si>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</si>
  <si>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</si>
  <si>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</si>
  <si>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</si>
  <si>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</si>
  <si>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</si>
  <si>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</si>
  <si>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</si>
  <si>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</si>
  <si>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</si>
  <si>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</si>
  <si>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</si>
  <si>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</si>
  <si>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</si>
  <si>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</si>
  <si>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</si>
  <si>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</si>
  <si>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</si>
  <si>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</si>
  <si>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</si>
  <si>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</si>
  <si>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</si>
  <si>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</si>
  <si>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</si>
  <si>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</si>
  <si>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</si>
  <si>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</si>
  <si>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</si>
  <si>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</si>
  <si>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</si>
  <si>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</si>
  <si>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</si>
  <si>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</si>
  <si>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</si>
  <si>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</si>
  <si>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</si>
  <si>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</si>
  <si>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</si>
  <si>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</si>
  <si>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</si>
  <si>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</si>
  <si>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</si>
  <si>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</si>
  <si>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</si>
  <si>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</si>
  <si>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</si>
  <si>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</si>
  <si>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</si>
  <si>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</si>
  <si>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</si>
  <si>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</si>
  <si>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</si>
  <si>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</si>
  <si>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</si>
  <si>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</si>
  <si>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</si>
  <si>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</si>
  <si>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</si>
  <si>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</si>
  <si>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</si>
  <si>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</si>
  <si>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</si>
  <si>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</si>
  <si>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</si>
  <si>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</si>
  <si>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</si>
  <si>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</si>
  <si>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</si>
  <si>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</si>
  <si>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</si>
  <si>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</si>
  <si>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</si>
  <si>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</si>
  <si>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</si>
  <si>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</si>
  <si>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</si>
  <si>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</si>
  <si>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</si>
  <si>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</si>
  <si>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</si>
  <si>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</si>
  <si>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</si>
  <si>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</si>
  <si>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</si>
  <si>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</si>
  <si>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</si>
  <si>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</si>
  <si>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</si>
  <si>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</si>
  <si>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</si>
  <si>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</si>
  <si>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</si>
  <si>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</si>
  <si>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</si>
  <si>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</si>
  <si>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</si>
  <si>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</si>
  <si>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</si>
  <si>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</si>
  <si>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</si>
  <si>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</si>
  <si>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</si>
  <si>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</si>
  <si>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</si>
  <si>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</si>
  <si>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</si>
  <si>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</si>
  <si>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</si>
  <si>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</si>
  <si>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</si>
  <si>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</si>
  <si>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</si>
  <si>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</si>
  <si>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</si>
  <si>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</si>
  <si>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</si>
  <si>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</si>
  <si>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</si>
  <si>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</si>
  <si>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</si>
  <si>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</si>
  <si>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</si>
  <si>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</si>
  <si>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</si>
  <si>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</si>
  <si>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</si>
  <si>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</si>
  <si>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</si>
  <si>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</si>
  <si>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</si>
  <si>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</si>
  <si>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</si>
  <si>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</si>
  <si>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</si>
  <si>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</si>
  <si>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</si>
  <si>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</si>
  <si>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</si>
  <si>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</si>
  <si>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</si>
  <si>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</si>
  <si>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</si>
  <si>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</si>
  <si>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</si>
  <si>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</si>
  <si>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</si>
  <si>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</si>
  <si>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</si>
  <si>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</si>
  <si>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</si>
  <si>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</si>
  <si>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</si>
  <si>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</si>
  <si>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</si>
  <si>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</si>
  <si>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</si>
  <si>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</si>
  <si>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</si>
  <si>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</si>
  <si>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</si>
  <si>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</si>
  <si>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</si>
  <si>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</si>
  <si>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</si>
  <si>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</si>
  <si>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</si>
  <si>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</si>
  <si>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</si>
  <si>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</si>
  <si>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</si>
  <si>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</si>
  <si>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</si>
  <si>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</si>
  <si>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</si>
  <si>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</si>
  <si>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</si>
  <si>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</si>
  <si>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</si>
  <si>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</si>
  <si>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</si>
  <si>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</si>
  <si>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</si>
  <si>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</si>
  <si>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</si>
  <si>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</si>
  <si>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</si>
  <si>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</si>
  <si>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</si>
  <si>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</si>
  <si>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</si>
  <si>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</si>
  <si>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</si>
  <si>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</si>
  <si>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</si>
  <si>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</si>
  <si>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</si>
  <si>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</si>
  <si>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</si>
  <si>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</si>
  <si>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</si>
  <si>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</si>
  <si>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</si>
  <si>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</si>
  <si>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</si>
  <si>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</si>
  <si>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</si>
  <si>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</si>
  <si>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</si>
  <si>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</si>
  <si>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</si>
  <si>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</si>
  <si>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</si>
  <si>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</si>
  <si>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</si>
  <si>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</si>
  <si>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</si>
  <si>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</si>
  <si>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</si>
  <si>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</si>
  <si>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</si>
  <si>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</si>
  <si>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</si>
  <si>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</si>
  <si>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</si>
  <si>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</si>
  <si>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</si>
  <si>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</si>
  <si>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</si>
  <si>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</si>
  <si>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</si>
  <si>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</si>
  <si>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</si>
  <si>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</si>
  <si>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</si>
  <si>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</si>
  <si>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</si>
  <si>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</si>
  <si>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</si>
  <si>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</si>
  <si>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</si>
  <si>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</si>
  <si>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</si>
  <si>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</si>
  <si>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</si>
  <si>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</si>
  <si>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</si>
  <si>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</si>
  <si>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</si>
  <si>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</si>
  <si>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</si>
  <si>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</si>
  <si>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</si>
  <si>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</si>
  <si>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</si>
  <si>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</si>
  <si>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</si>
  <si>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</si>
  <si>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</si>
  <si>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</si>
  <si>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</si>
  <si>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</si>
  <si>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</si>
  <si>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</si>
  <si>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</si>
  <si>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</si>
  <si>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</si>
  <si>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</si>
  <si>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</si>
  <si>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</si>
  <si>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</si>
  <si>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</si>
  <si>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</si>
  <si>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</si>
  <si>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</si>
  <si>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</si>
  <si>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</si>
  <si>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</si>
  <si>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</si>
  <si>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</si>
  <si>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</si>
  <si>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</si>
  <si>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</si>
  <si>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</si>
  <si>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</si>
  <si>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</si>
  <si>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</si>
  <si>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</si>
  <si>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</si>
  <si>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</si>
  <si>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</si>
  <si>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</si>
  <si>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</si>
  <si>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</si>
  <si>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</si>
  <si>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</si>
  <si>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</si>
  <si>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</si>
  <si>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</si>
  <si>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</si>
  <si>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</si>
  <si>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</si>
  <si>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</si>
  <si>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</si>
  <si>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</si>
  <si>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</si>
  <si>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</si>
  <si>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</si>
  <si>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</si>
  <si>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</si>
  <si>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</si>
  <si>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</si>
  <si>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</si>
  <si>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</si>
  <si>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</si>
  <si>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</si>
  <si>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</si>
  <si>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</si>
  <si>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</si>
  <si>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</si>
  <si>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</si>
  <si>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</si>
  <si>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</si>
  <si>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</si>
  <si>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</si>
  <si>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</si>
  <si>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</si>
  <si>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</si>
  <si>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</si>
  <si>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</si>
  <si>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</si>
  <si>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</si>
  <si>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</si>
  <si>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</si>
  <si>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</si>
  <si>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</si>
  <si>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</si>
  <si>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</si>
  <si>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</si>
  <si>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</si>
  <si>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</si>
  <si>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</si>
  <si>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</si>
  <si>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</si>
  <si>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</si>
  <si>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</si>
  <si>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</si>
  <si>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</si>
  <si>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</si>
  <si>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</si>
  <si>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</si>
  <si>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</si>
  <si>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</si>
  <si>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</si>
  <si>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</si>
  <si>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</si>
  <si>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</si>
  <si>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</si>
  <si>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</si>
  <si>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</si>
  <si>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</si>
  <si>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</si>
  <si>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</si>
  <si>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</si>
  <si>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</si>
  <si>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</si>
  <si>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</si>
  <si>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</si>
  <si>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</si>
  <si>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</si>
  <si>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</si>
  <si>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</si>
  <si>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</si>
  <si>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</si>
  <si>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</si>
  <si>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</si>
  <si>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</si>
  <si>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</si>
  <si>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</si>
  <si>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</si>
  <si>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</si>
  <si>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</si>
  <si>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</si>
  <si>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</si>
  <si>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</si>
  <si>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</si>
  <si>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</si>
  <si>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</si>
  <si>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</si>
  <si>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</si>
  <si>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</si>
  <si>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</si>
  <si>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</si>
  <si>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</si>
  <si>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</si>
  <si>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</si>
  <si>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</si>
  <si>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</si>
  <si>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</si>
  <si>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</si>
  <si>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</si>
  <si>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</si>
  <si>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</si>
  <si>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</si>
  <si>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</si>
  <si>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</si>
  <si>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</si>
  <si>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</si>
  <si>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</si>
  <si>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</si>
  <si>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</si>
  <si>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</si>
  <si>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</si>
  <si>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</si>
  <si>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</si>
  <si>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</si>
  <si>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</si>
  <si>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</si>
  <si>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</si>
  <si>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</si>
  <si>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</si>
  <si>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</si>
  <si>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</si>
  <si>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</si>
  <si>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</si>
  <si>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</si>
  <si>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</si>
  <si>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</si>
  <si>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</si>
  <si>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</si>
  <si>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</si>
  <si>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</si>
  <si>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</si>
  <si>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</si>
  <si>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</si>
  <si>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</si>
  <si>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</si>
  <si>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</si>
  <si>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</si>
  <si>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</si>
  <si>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</si>
  <si>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</si>
  <si>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</si>
  <si>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</si>
  <si>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</si>
  <si>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</si>
  <si>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</si>
  <si>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</si>
  <si>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</si>
  <si>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</si>
  <si>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</si>
  <si>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</si>
  <si>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</si>
  <si>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</si>
  <si>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</si>
  <si>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</si>
  <si>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</si>
  <si>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</si>
  <si>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</si>
  <si>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</si>
  <si>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</si>
  <si>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</si>
  <si>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</si>
  <si>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</si>
  <si>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</si>
  <si>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</si>
  <si>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</si>
  <si>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</si>
  <si>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</si>
  <si>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</si>
  <si>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</si>
  <si>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</si>
  <si>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</si>
  <si>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</si>
  <si>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</si>
  <si>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</si>
  <si>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</si>
  <si>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</si>
  <si>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</si>
  <si>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</si>
  <si>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</si>
  <si>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</si>
  <si>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</si>
  <si>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</si>
  <si>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</si>
  <si>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</si>
  <si>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</si>
  <si>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</si>
  <si>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</si>
  <si>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</si>
  <si>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</si>
  <si>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</si>
  <si>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</si>
  <si>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</si>
  <si>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</si>
  <si>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</si>
  <si>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</si>
  <si>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</si>
  <si>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</si>
  <si>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</si>
  <si>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</si>
  <si>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</si>
  <si>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</si>
  <si>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</si>
  <si>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</si>
  <si>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</si>
  <si>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</si>
  <si>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</si>
  <si>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</si>
  <si>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</si>
  <si>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</si>
  <si>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</si>
  <si>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</si>
  <si>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</si>
  <si>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</si>
  <si>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</si>
  <si>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</si>
  <si>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</si>
  <si>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</si>
  <si>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</si>
  <si>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</si>
  <si>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</si>
  <si>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</si>
  <si>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</si>
  <si>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</si>
  <si>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</si>
  <si>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</si>
  <si>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</si>
  <si>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</si>
  <si>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</si>
  <si>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</si>
  <si>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</si>
  <si>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</si>
  <si>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</si>
  <si>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</si>
  <si>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</si>
  <si>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</si>
  <si>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</si>
  <si>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</si>
  <si>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</si>
  <si>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</si>
  <si>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</si>
  <si>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</si>
  <si>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</si>
  <si>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</si>
  <si>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</si>
  <si>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</si>
  <si>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</si>
  <si>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</si>
  <si>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</si>
  <si>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</si>
  <si>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</si>
  <si>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</si>
  <si>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</si>
  <si>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</si>
  <si>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</si>
  <si>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</si>
  <si>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</si>
  <si>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</si>
  <si>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</si>
  <si>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</si>
  <si>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</si>
  <si>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</si>
  <si>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</si>
  <si>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</si>
  <si>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</si>
  <si>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</si>
  <si>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</si>
  <si>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</si>
  <si>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</si>
  <si>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</si>
  <si>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</si>
  <si>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</si>
  <si>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</si>
  <si>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</si>
  <si>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</si>
  <si>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</si>
  <si>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</si>
  <si>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</si>
  <si>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</si>
  <si>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</si>
  <si>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</si>
  <si>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</si>
  <si>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</si>
  <si>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</si>
  <si>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</si>
  <si>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</si>
  <si>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</si>
  <si>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</si>
  <si>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</si>
  <si>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</si>
  <si>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</si>
  <si>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</si>
  <si>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</si>
  <si>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</si>
  <si>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</si>
  <si>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</si>
  <si>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</si>
  <si>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</si>
  <si>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</si>
  <si>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</si>
  <si>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</si>
  <si>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</si>
  <si>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</si>
  <si>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</si>
  <si>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</si>
  <si>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</si>
  <si>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</si>
  <si>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</si>
  <si>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</si>
  <si>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</si>
  <si>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</si>
  <si>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</si>
  <si>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</si>
  <si>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</si>
  <si>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</si>
  <si>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</si>
  <si>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</si>
  <si>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</si>
  <si>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</si>
  <si>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</si>
  <si>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</si>
  <si>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</si>
  <si>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</si>
  <si>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</si>
  <si>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</si>
  <si>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</si>
  <si>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</si>
  <si>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</si>
  <si>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</si>
  <si>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</si>
  <si>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</si>
  <si>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</si>
  <si>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</si>
  <si>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</si>
  <si>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</si>
  <si>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</si>
  <si>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</si>
  <si>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</si>
  <si>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</si>
  <si>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</si>
  <si>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</si>
  <si>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</si>
  <si>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</si>
  <si>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</si>
  <si>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</si>
  <si>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</si>
  <si>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</si>
  <si>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</si>
  <si>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</si>
  <si>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</si>
  <si>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</si>
  <si>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</si>
  <si>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</si>
  <si>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</si>
  <si>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</si>
  <si>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</si>
  <si>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</si>
  <si>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</si>
  <si>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</si>
  <si>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</si>
  <si>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</si>
  <si>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</si>
  <si>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</si>
  <si>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</si>
  <si>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</si>
  <si>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</si>
  <si>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</si>
  <si>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</si>
  <si>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</si>
  <si>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</si>
  <si>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</si>
  <si>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</si>
  <si>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</si>
  <si>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</si>
  <si>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</si>
  <si>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</si>
  <si>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</si>
  <si>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</si>
  <si>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</si>
  <si>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</si>
  <si>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</si>
  <si>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</si>
  <si>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</si>
  <si>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</si>
  <si>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</si>
  <si>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</si>
  <si>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</si>
  <si>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</si>
  <si>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</si>
  <si>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</si>
  <si>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</si>
  <si>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</si>
  <si>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</si>
  <si>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</si>
  <si>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</si>
  <si>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</si>
  <si>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</si>
  <si>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</si>
  <si>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</si>
  <si>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</si>
  <si>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</si>
  <si>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</si>
  <si>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</si>
  <si>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</si>
  <si>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</si>
  <si>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</si>
  <si>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</si>
  <si>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</si>
  <si>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</si>
  <si>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</si>
  <si>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</si>
  <si>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</si>
  <si>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</si>
  <si>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</si>
  <si>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</si>
  <si>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</si>
  <si>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</si>
  <si>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</si>
  <si>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</si>
  <si>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</si>
  <si>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</si>
  <si>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</si>
  <si>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</si>
  <si>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</si>
  <si>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</si>
  <si>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</si>
  <si>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</si>
  <si>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</si>
  <si>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</si>
  <si>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</si>
  <si>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</si>
  <si>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</si>
  <si>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</si>
  <si>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</si>
  <si>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</si>
  <si>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</si>
  <si>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</si>
  <si>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</si>
  <si>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</si>
  <si>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</si>
  <si>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</si>
  <si>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</si>
  <si>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</si>
  <si>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</si>
  <si>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</si>
  <si>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</si>
  <si>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</si>
  <si>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</si>
  <si>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</si>
  <si>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</si>
  <si>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</si>
  <si>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</si>
  <si>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</si>
  <si>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</si>
  <si>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</si>
  <si>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</si>
  <si>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</si>
  <si>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</si>
  <si>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</si>
  <si>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</si>
  <si>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</si>
  <si>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</si>
  <si>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</si>
  <si>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</si>
  <si>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</si>
  <si>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</si>
  <si>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</si>
  <si>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</si>
  <si>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</si>
  <si>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</si>
  <si>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</si>
  <si>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</si>
  <si>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</si>
  <si>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</si>
  <si>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</si>
  <si>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</si>
  <si>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</si>
  <si>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</si>
  <si>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</si>
  <si>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</si>
  <si>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</si>
  <si>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</si>
  <si>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</si>
  <si>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</si>
  <si>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</si>
  <si>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</si>
  <si>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</si>
  <si>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</si>
  <si>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</si>
  <si>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</si>
  <si>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</si>
  <si>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</si>
  <si>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</si>
  <si>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</si>
  <si>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</si>
  <si>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</si>
  <si>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</si>
  <si>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</si>
  <si>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</si>
  <si>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</si>
  <si>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</si>
  <si>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</si>
  <si>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</si>
  <si>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</si>
  <si>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</si>
  <si>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</si>
  <si>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</si>
  <si>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</si>
  <si>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</si>
  <si>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</si>
  <si>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</si>
  <si>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</si>
  <si>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</si>
  <si>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</si>
  <si>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</si>
  <si>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</si>
  <si>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</si>
  <si>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</si>
  <si>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</si>
  <si>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</si>
  <si>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</si>
  <si>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</si>
  <si>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</si>
  <si>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</si>
  <si>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</si>
  <si>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</si>
  <si>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</si>
  <si>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</si>
  <si>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</si>
  <si>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</si>
  <si>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</si>
  <si>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</si>
  <si>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</si>
  <si>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</si>
  <si>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</si>
  <si>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</si>
  <si>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</si>
  <si>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</si>
  <si>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</si>
  <si>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</si>
  <si>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</si>
  <si>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</si>
  <si>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</si>
  <si>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</si>
  <si>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</si>
  <si>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</si>
  <si>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</si>
  <si>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</si>
  <si>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</si>
  <si>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</si>
  <si>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</si>
  <si>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</si>
  <si>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</si>
  <si>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</si>
  <si>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</si>
  <si>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</si>
  <si>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</si>
  <si>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</si>
  <si>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</si>
  <si>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</si>
  <si>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</si>
  <si>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</si>
  <si>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</si>
  <si>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</si>
  <si>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</si>
  <si>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</si>
  <si>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</si>
  <si>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</si>
  <si>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</si>
  <si>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</si>
  <si>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</si>
  <si>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</si>
  <si>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</si>
  <si>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</si>
  <si>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</si>
  <si>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</si>
  <si>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</si>
  <si>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</si>
  <si>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</si>
  <si>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</si>
  <si>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</si>
  <si>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</si>
  <si>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</si>
  <si>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</si>
  <si>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</si>
  <si>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</si>
  <si>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</si>
  <si>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</si>
  <si>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</si>
  <si>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</si>
  <si>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</si>
  <si>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</si>
  <si>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</si>
  <si>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</si>
  <si>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</si>
  <si>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</si>
  <si>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</si>
  <si>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</si>
  <si>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</si>
  <si>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</si>
  <si>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</si>
  <si>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</si>
  <si>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</si>
  <si>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</si>
  <si>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</si>
  <si>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</si>
  <si>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</si>
  <si>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</si>
  <si>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</si>
  <si>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</si>
  <si>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</si>
  <si>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</si>
  <si>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</si>
  <si>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</si>
  <si>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</si>
  <si>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</si>
  <si>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</si>
  <si>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</si>
  <si>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</si>
  <si>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</si>
  <si>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</si>
  <si>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</si>
  <si>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</si>
  <si>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</si>
  <si>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</si>
  <si>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</si>
  <si>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</si>
  <si>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</si>
  <si>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</si>
  <si>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</si>
  <si>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</si>
  <si>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</si>
  <si>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</si>
  <si>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</si>
  <si>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</si>
  <si>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</si>
  <si>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</si>
  <si>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</si>
  <si>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</si>
  <si>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</si>
  <si>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</si>
  <si>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</si>
  <si>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</si>
  <si>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</si>
  <si>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</si>
  <si>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</si>
  <si>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</si>
  <si>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</si>
  <si>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</si>
  <si>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</si>
  <si>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</si>
  <si>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</si>
  <si>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</si>
  <si>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</si>
  <si>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</si>
  <si>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</si>
  <si>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</si>
  <si>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</si>
  <si>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</si>
  <si>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</si>
  <si>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</si>
  <si>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</si>
  <si>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</si>
  <si>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</si>
  <si>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</si>
  <si>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</si>
  <si>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</si>
  <si>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</si>
  <si>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</si>
  <si>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</si>
  <si>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</si>
  <si>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</si>
  <si>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</si>
  <si>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</si>
  <si>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</si>
  <si>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</si>
  <si>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</si>
  <si>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</si>
  <si>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</si>
  <si>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</si>
  <si>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</si>
  <si>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</si>
  <si>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</si>
  <si>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</si>
  <si>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</si>
  <si>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</si>
  <si>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</si>
  <si>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</si>
  <si>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</si>
  <si>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</si>
  <si>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</si>
  <si>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</si>
  <si>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</si>
  <si>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</si>
  <si>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</si>
  <si>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</si>
  <si>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</si>
  <si>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</si>
  <si>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</si>
  <si>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</si>
  <si>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</si>
  <si>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</si>
  <si>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</si>
  <si>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</si>
  <si>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</si>
  <si>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</si>
  <si>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</si>
  <si>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</si>
  <si>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</si>
  <si>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</si>
  <si>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</si>
  <si>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</si>
  <si>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</si>
  <si>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</si>
  <si>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</si>
  <si>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</si>
  <si>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</si>
  <si>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</si>
  <si>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</si>
  <si>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</si>
  <si>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</si>
  <si>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</si>
  <si>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</si>
  <si>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</si>
  <si>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</si>
  <si>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</si>
  <si>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</si>
  <si>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</si>
  <si>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</si>
  <si>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</si>
  <si>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</si>
  <si>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</si>
  <si>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</si>
  <si>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</si>
  <si>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</si>
  <si>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</si>
  <si>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</si>
  <si>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</si>
  <si>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</si>
  <si>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</si>
  <si>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</si>
  <si>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</si>
  <si>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</si>
  <si>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</si>
  <si>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</si>
  <si>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</si>
  <si>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</si>
  <si>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</si>
  <si>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</si>
  <si>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</si>
  <si>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</si>
  <si>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</si>
  <si>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</si>
  <si>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</si>
  <si>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</si>
  <si>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</si>
  <si>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</si>
  <si>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</si>
  <si>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</si>
  <si>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</si>
  <si>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</si>
  <si>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</si>
  <si>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</si>
  <si>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</si>
  <si>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</si>
  <si>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</si>
  <si>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</si>
  <si>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</si>
  <si>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</si>
  <si>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</si>
  <si>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</si>
  <si>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</si>
  <si>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</si>
  <si>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</si>
  <si>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</si>
  <si>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</si>
  <si>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</si>
  <si>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</si>
  <si>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</si>
  <si>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</si>
  <si>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</si>
  <si>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</si>
  <si>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</si>
  <si>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</si>
  <si>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</si>
  <si>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</si>
  <si>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</si>
  <si>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</si>
  <si>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</si>
  <si>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</si>
  <si>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</si>
  <si>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</si>
  <si>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</si>
  <si>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</si>
  <si>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</si>
  <si>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</si>
  <si>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</si>
  <si>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</si>
  <si>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</si>
  <si>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</si>
  <si>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</si>
  <si>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</si>
  <si>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</si>
  <si>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</si>
  <si>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</si>
  <si>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</si>
  <si>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</si>
  <si>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</si>
  <si>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</si>
  <si>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</si>
  <si>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</si>
  <si>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</si>
  <si>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</si>
  <si>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</si>
  <si>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</si>
  <si>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</si>
  <si>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</si>
  <si>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</si>
  <si>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</si>
  <si>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</si>
  <si>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</si>
  <si>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</si>
  <si>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</si>
  <si>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</si>
  <si>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</si>
  <si>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</si>
  <si>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</si>
  <si>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</si>
  <si>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</si>
  <si>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</si>
  <si>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</si>
  <si>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</si>
  <si>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</si>
  <si>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</si>
  <si>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</si>
  <si>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</si>
  <si>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</si>
  <si>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</si>
  <si>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</si>
  <si>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</si>
  <si>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</si>
  <si>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</si>
  <si>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</si>
  <si>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</si>
  <si>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</si>
  <si>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</si>
  <si>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</si>
  <si>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</si>
  <si>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</si>
  <si>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</si>
  <si>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</si>
  <si>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</si>
  <si>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</si>
  <si>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</si>
  <si>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</si>
  <si>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</si>
  <si>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</si>
  <si>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</si>
  <si>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</si>
  <si>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</si>
  <si>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</si>
  <si>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</si>
  <si>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</si>
  <si>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</si>
  <si>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</si>
  <si>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</si>
  <si>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</si>
  <si>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</si>
  <si>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</si>
  <si>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</si>
  <si>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</si>
  <si>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</si>
  <si>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</si>
  <si>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</si>
  <si>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</si>
  <si>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</si>
  <si>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</si>
  <si>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</si>
  <si>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</si>
  <si>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</si>
  <si>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</si>
  <si>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</si>
  <si>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</si>
  <si>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</si>
  <si>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</si>
  <si>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</si>
  <si>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</si>
  <si>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</si>
  <si>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</si>
  <si>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</si>
  <si>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</si>
  <si>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</si>
  <si>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</si>
  <si>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</si>
  <si>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</si>
  <si>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</si>
  <si>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</si>
  <si>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</si>
  <si>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</si>
  <si>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</si>
  <si>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</si>
  <si>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</si>
  <si>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</si>
  <si>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</si>
  <si>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</si>
  <si>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</si>
  <si>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</si>
  <si>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</si>
  <si>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</si>
  <si>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</si>
  <si>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</si>
  <si>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</si>
  <si>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</si>
  <si>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</si>
  <si>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</si>
  <si>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</si>
  <si>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</si>
  <si>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</si>
  <si>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</si>
  <si>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</si>
  <si>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</si>
  <si>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</si>
  <si>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</si>
  <si>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</si>
  <si>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</si>
  <si>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</si>
  <si>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</si>
  <si>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</si>
  <si>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</si>
  <si>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</si>
  <si>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</si>
  <si>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</si>
  <si>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</si>
  <si>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</si>
  <si>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</si>
  <si>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</si>
  <si>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</si>
  <si>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</si>
  <si>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</si>
  <si>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</si>
  <si>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</si>
  <si>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</si>
  <si>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</si>
  <si>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</si>
  <si>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</si>
  <si>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</si>
  <si>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</si>
  <si>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</si>
  <si>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</si>
  <si>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</si>
  <si>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</si>
  <si>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</si>
  <si>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</si>
  <si>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</si>
  <si>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</si>
  <si>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</si>
  <si>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</si>
  <si>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</si>
  <si>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</si>
  <si>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</si>
  <si>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</si>
  <si>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</si>
  <si>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</si>
  <si>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</si>
  <si>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</si>
  <si>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</si>
  <si>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</si>
  <si>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</si>
  <si>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</si>
  <si>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</si>
  <si>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</si>
  <si>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</si>
  <si>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</si>
  <si>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</si>
  <si>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</si>
  <si>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</si>
  <si>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</si>
  <si>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</si>
  <si>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</si>
  <si>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</si>
  <si>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</si>
  <si>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</si>
  <si>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</si>
  <si>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</si>
  <si>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</si>
  <si>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</si>
  <si>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</si>
  <si>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</si>
  <si>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</si>
  <si>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</si>
  <si>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</si>
  <si>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</si>
  <si>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</si>
  <si>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</si>
  <si>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</si>
  <si>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</si>
  <si>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</si>
  <si>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</si>
  <si>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</si>
  <si>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</si>
  <si>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</si>
  <si>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</si>
  <si>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</si>
  <si>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</si>
  <si>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</si>
  <si>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</si>
  <si>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</si>
  <si>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</si>
  <si>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</si>
  <si>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</si>
  <si>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</si>
  <si>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</si>
  <si>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</si>
  <si>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</si>
  <si>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</si>
  <si>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</si>
  <si>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</si>
  <si>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</si>
  <si>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</si>
  <si>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</si>
  <si>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</si>
  <si>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</si>
  <si>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</si>
  <si>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</si>
  <si>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</si>
  <si>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</si>
  <si>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</si>
  <si>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</si>
  <si>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</si>
  <si>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</si>
  <si>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</si>
  <si>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</si>
  <si>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</si>
  <si>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</si>
  <si>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</si>
  <si>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</si>
  <si>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</si>
  <si>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</si>
  <si>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</si>
  <si>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</si>
  <si>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</si>
  <si>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</si>
  <si>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</si>
  <si>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</si>
  <si>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</si>
  <si>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</si>
  <si>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</si>
  <si>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</si>
  <si>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</si>
  <si>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</si>
  <si>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</si>
  <si>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</si>
  <si>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</si>
  <si>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</si>
  <si>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</si>
  <si>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</si>
  <si>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</si>
  <si>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</si>
  <si>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</si>
  <si>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</si>
  <si>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</si>
  <si>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</si>
  <si>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</si>
  <si>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</si>
  <si>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</si>
  <si>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</si>
  <si>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</si>
  <si>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</si>
  <si>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</si>
  <si>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</si>
  <si>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</si>
  <si>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</si>
  <si>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</si>
  <si>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</si>
  <si>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</si>
  <si>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</si>
  <si>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</si>
  <si>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</si>
  <si>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</si>
  <si>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</si>
  <si>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</si>
  <si>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</si>
  <si>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</si>
  <si>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</si>
  <si>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</si>
  <si>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</si>
  <si>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</si>
  <si>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</si>
  <si>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</si>
  <si>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</si>
  <si>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</si>
  <si>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</si>
  <si>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</si>
  <si>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</si>
  <si>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</si>
  <si>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</si>
  <si>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</si>
  <si>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</si>
  <si>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</si>
  <si>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</si>
  <si>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</si>
  <si>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</si>
  <si>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</si>
  <si>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</si>
  <si>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</si>
  <si>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</si>
  <si>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</si>
  <si>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</si>
  <si>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</si>
  <si>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</si>
  <si>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</si>
  <si>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</si>
  <si>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</si>
  <si>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</si>
  <si>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</si>
  <si>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</si>
  <si>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</si>
  <si>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</si>
  <si>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</si>
  <si>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</si>
  <si>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</si>
  <si>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</si>
  <si>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</si>
  <si>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</si>
  <si>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</si>
  <si>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</si>
  <si>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</si>
  <si>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</si>
  <si>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</si>
  <si>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</si>
  <si>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</si>
  <si>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</si>
  <si>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</si>
  <si>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</si>
  <si>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</si>
  <si>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</si>
  <si>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</si>
  <si>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</si>
  <si>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</si>
  <si>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</si>
  <si>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</si>
  <si>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</si>
  <si>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</si>
  <si>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</si>
  <si>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</si>
  <si>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</si>
  <si>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</si>
  <si>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</si>
  <si>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</si>
  <si>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</si>
  <si>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</si>
  <si>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</si>
  <si>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</si>
  <si>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</si>
  <si>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</si>
  <si>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</si>
  <si>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</si>
  <si>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</si>
  <si>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</si>
  <si>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</si>
  <si>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</si>
  <si>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</si>
  <si>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</si>
  <si>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</si>
  <si>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</si>
  <si>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</si>
  <si>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</si>
  <si>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</si>
  <si>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</si>
  <si>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</si>
  <si>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</si>
  <si>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</si>
  <si>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</si>
  <si>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</si>
  <si>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</si>
  <si>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</si>
  <si>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</si>
  <si>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</si>
  <si>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</si>
  <si>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</si>
  <si>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</si>
  <si>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</si>
  <si>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</si>
  <si>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</si>
  <si>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</si>
  <si>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</si>
  <si>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</si>
  <si>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</si>
  <si>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</si>
  <si>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</si>
  <si>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</si>
  <si>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</si>
  <si>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</si>
  <si>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</si>
  <si>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</si>
  <si>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</si>
  <si>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</si>
  <si>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</si>
  <si>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</si>
  <si>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</si>
  <si>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</si>
  <si>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</si>
  <si>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</si>
  <si>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</si>
  <si>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</si>
  <si>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</si>
  <si>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</si>
  <si>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</si>
  <si>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</si>
  <si>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</si>
  <si>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</si>
  <si>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</si>
  <si>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</si>
  <si>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</si>
  <si>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</si>
  <si>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</si>
  <si>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</si>
  <si>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</si>
  <si>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</si>
  <si>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</si>
  <si>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</si>
  <si>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</si>
  <si>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</si>
  <si>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</si>
  <si>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</si>
  <si>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</si>
  <si>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</si>
  <si>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</si>
  <si>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</si>
  <si>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</si>
  <si>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</si>
  <si>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</si>
  <si>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</si>
  <si>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</si>
  <si>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</si>
  <si>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</si>
  <si>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</si>
  <si>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</si>
  <si>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</si>
  <si>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</si>
  <si>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</si>
  <si>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</si>
  <si>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</si>
  <si>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</si>
  <si>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</si>
  <si>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</si>
  <si>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</si>
  <si>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</si>
  <si>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</si>
  <si>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</si>
  <si>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</si>
  <si>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</si>
  <si>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</si>
  <si>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</si>
  <si>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</si>
  <si>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</si>
  <si>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</si>
  <si>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</si>
  <si>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</si>
  <si>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</si>
  <si>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</si>
  <si>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</si>
  <si>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</si>
  <si>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</si>
  <si>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</si>
  <si>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</si>
  <si>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</si>
  <si>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</si>
  <si>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</si>
  <si>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</si>
  <si>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</si>
  <si>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</si>
  <si>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</si>
  <si>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</si>
  <si>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</si>
  <si>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</si>
  <si>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</si>
  <si>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</si>
  <si>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</si>
  <si>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</si>
  <si>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</si>
  <si>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</si>
  <si>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</si>
  <si>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</si>
  <si>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</si>
  <si>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</si>
  <si>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</si>
  <si>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</si>
  <si>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</si>
  <si>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</si>
  <si>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</si>
  <si>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</si>
  <si>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</si>
  <si>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</si>
  <si>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</si>
  <si>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</si>
  <si>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</si>
  <si>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</si>
  <si>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</si>
  <si>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</si>
  <si>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</si>
  <si>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</si>
  <si>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</si>
  <si>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</si>
  <si>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</si>
  <si>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</si>
  <si>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</si>
  <si>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</si>
  <si>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</si>
  <si>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</si>
  <si>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</si>
  <si>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</si>
  <si>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</si>
  <si>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</si>
  <si>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</si>
  <si>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</si>
  <si>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</si>
  <si>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</si>
  <si>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</si>
  <si>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</si>
  <si>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</si>
  <si>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</si>
  <si>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</si>
  <si>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</si>
  <si>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</si>
  <si>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</si>
  <si>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</si>
  <si>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</si>
  <si>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</si>
  <si>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</si>
  <si>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</si>
  <si>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</si>
  <si>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</si>
  <si>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</si>
  <si>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</si>
  <si>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</si>
  <si>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</si>
  <si>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</si>
  <si>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</si>
  <si>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</si>
  <si>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</si>
  <si>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</si>
  <si>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</si>
  <si>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</si>
  <si>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</si>
  <si>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</si>
  <si>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</si>
  <si>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</si>
  <si>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</si>
  <si>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</si>
  <si>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</si>
  <si>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</si>
  <si>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</si>
  <si>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</si>
  <si>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</si>
  <si>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</si>
  <si>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</si>
  <si>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</si>
  <si>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</si>
  <si>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</si>
  <si>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</si>
  <si>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</si>
  <si>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</si>
  <si>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</si>
  <si>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</si>
  <si>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</si>
  <si>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</si>
  <si>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</si>
  <si>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</si>
  <si>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</si>
  <si>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</si>
  <si>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</si>
  <si>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</si>
  <si>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</si>
  <si>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</si>
  <si>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</si>
  <si>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</si>
  <si>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</si>
  <si>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</si>
  <si>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</si>
  <si>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</si>
  <si>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</si>
  <si>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</si>
  <si>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</si>
  <si>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</si>
  <si>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</si>
  <si>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</si>
  <si>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</si>
  <si>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</si>
  <si>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</si>
  <si>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</si>
  <si>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</si>
  <si>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</si>
  <si>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</si>
  <si>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</si>
  <si>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</si>
  <si>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</si>
  <si>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</si>
  <si>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</si>
  <si>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</si>
  <si>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</si>
  <si>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</si>
  <si>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</si>
  <si>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</si>
  <si>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</si>
  <si>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</si>
  <si>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</si>
  <si>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</si>
  <si>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</si>
  <si>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</si>
  <si>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</si>
  <si>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</si>
  <si>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</si>
  <si>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</si>
  <si>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</si>
  <si>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</si>
  <si>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</si>
  <si>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</si>
  <si>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</si>
  <si>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</si>
  <si>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</si>
  <si>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</si>
  <si>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</si>
  <si>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</si>
  <si>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</si>
  <si>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</si>
  <si>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</si>
  <si>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</si>
  <si>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</si>
  <si>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</si>
  <si>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</si>
  <si>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</si>
  <si>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</si>
  <si>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</si>
  <si>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</si>
  <si>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</si>
  <si>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</si>
  <si>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</si>
  <si>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</si>
  <si>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</si>
  <si>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</si>
  <si>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</si>
  <si>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</si>
  <si>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</si>
  <si>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</si>
  <si>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</si>
  <si>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</si>
  <si>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</si>
  <si>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</si>
  <si>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</si>
  <si>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</si>
  <si>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</si>
  <si>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</si>
  <si>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</si>
  <si>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</si>
  <si>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</si>
  <si>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</si>
  <si>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</si>
  <si>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</si>
  <si>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</si>
  <si>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</si>
  <si>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</si>
  <si>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</si>
  <si>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</si>
  <si>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</si>
  <si>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</si>
  <si>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</si>
  <si>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</si>
  <si>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</si>
  <si>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</si>
  <si>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</si>
  <si>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</si>
  <si>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</si>
  <si>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</si>
  <si>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</si>
  <si>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</si>
  <si>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</si>
  <si>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</si>
  <si>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</si>
  <si>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</si>
  <si>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</si>
  <si>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</si>
  <si>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</si>
  <si>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</si>
  <si>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</si>
  <si>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</si>
  <si>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</si>
  <si>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</si>
  <si>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</si>
  <si>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</si>
  <si>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</si>
  <si>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</si>
  <si>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</si>
  <si>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</si>
  <si>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</si>
  <si>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</si>
  <si>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</si>
  <si>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</si>
  <si>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</si>
  <si>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</si>
  <si>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</si>
  <si>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</si>
  <si>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</si>
  <si>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</si>
  <si>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</si>
  <si>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</si>
  <si>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</si>
  <si>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</si>
  <si>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</si>
  <si>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</si>
  <si>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</si>
  <si>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</si>
  <si>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</si>
  <si>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</si>
  <si>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</si>
  <si>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</si>
  <si>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</si>
  <si>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</si>
  <si>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</si>
  <si>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</si>
  <si>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</si>
  <si>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</si>
  <si>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</si>
  <si>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</si>
  <si>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</si>
  <si>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</si>
  <si>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</si>
  <si>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</si>
  <si>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</si>
  <si>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</si>
  <si>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</si>
  <si>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</si>
  <si>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</si>
  <si>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</si>
  <si>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</si>
  <si>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</si>
  <si>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</si>
  <si>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</si>
  <si>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</si>
  <si>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</si>
  <si>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</si>
  <si>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</si>
  <si>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</si>
  <si>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</si>
  <si>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</si>
  <si>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</si>
  <si>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</si>
  <si>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</si>
  <si>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</si>
  <si>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</si>
  <si>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</si>
  <si>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</si>
  <si>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</si>
  <si>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</si>
  <si>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</si>
  <si>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</si>
  <si>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</si>
  <si>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</si>
  <si>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</si>
  <si>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</si>
  <si>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</si>
  <si>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</si>
  <si>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</si>
  <si>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</si>
  <si>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</si>
  <si>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</si>
  <si>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</si>
  <si>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</si>
  <si>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</si>
  <si>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</si>
  <si>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</si>
  <si>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</si>
  <si>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</si>
  <si>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</si>
  <si>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</si>
  <si>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</si>
  <si>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</si>
  <si>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</si>
  <si>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</si>
  <si>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</si>
  <si>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</si>
  <si>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</si>
  <si>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</si>
  <si>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</si>
  <si>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</si>
  <si>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</si>
  <si>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</si>
  <si>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</si>
  <si>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</si>
  <si>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</si>
  <si>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</si>
  <si>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</si>
  <si>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</si>
  <si>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</si>
  <si>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</si>
  <si>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</si>
  <si>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</si>
  <si>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</si>
  <si>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</si>
  <si>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</si>
  <si>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</si>
  <si>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</si>
  <si>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</si>
  <si>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</si>
  <si>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</si>
  <si>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</si>
  <si>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</si>
  <si>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</si>
  <si>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</si>
  <si>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</si>
  <si>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</si>
  <si>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</si>
  <si>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</si>
  <si>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</si>
  <si>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</si>
  <si>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</si>
  <si>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</si>
  <si>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</si>
  <si>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</si>
  <si>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</si>
  <si>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</si>
  <si>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</si>
  <si>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</si>
  <si>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</si>
  <si>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</si>
  <si>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</si>
  <si>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</si>
  <si>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</si>
  <si>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</si>
  <si>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</si>
  <si>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</si>
  <si>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</si>
  <si>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</si>
  <si>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</si>
  <si>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</si>
  <si>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</si>
  <si>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</si>
  <si>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</si>
  <si>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</si>
  <si>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</si>
  <si>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</si>
  <si>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</si>
  <si>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</si>
  <si>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</si>
  <si>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</si>
  <si>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</si>
  <si>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</si>
  <si>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</si>
  <si>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</si>
  <si>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</si>
  <si>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</si>
  <si>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</si>
  <si>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</si>
  <si>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</si>
  <si>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</si>
  <si>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</si>
  <si>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</si>
  <si>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</si>
  <si>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</si>
  <si>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</si>
  <si>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</si>
  <si>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</si>
  <si>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</si>
  <si>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</si>
  <si>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</si>
  <si>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</si>
  <si>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</si>
  <si>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</si>
  <si>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</si>
  <si>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</si>
  <si>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</si>
  <si>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</si>
  <si>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</si>
  <si>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</si>
  <si>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</si>
  <si>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</si>
  <si>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</si>
  <si>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</si>
  <si>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</si>
  <si>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</si>
  <si>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</si>
  <si>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</si>
  <si>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</si>
  <si>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</si>
  <si>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</si>
  <si>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</si>
  <si>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</si>
  <si>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</si>
  <si>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</si>
  <si>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</si>
  <si>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</si>
  <si>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</si>
  <si>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</si>
  <si>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</si>
  <si>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</si>
  <si>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</si>
  <si>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</si>
  <si>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</si>
  <si>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</si>
  <si>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</si>
  <si>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</si>
  <si>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</si>
  <si>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</si>
  <si>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</si>
  <si>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</si>
  <si>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</si>
  <si>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</si>
  <si>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</si>
  <si>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</si>
  <si>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</si>
  <si>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</si>
  <si>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</si>
  <si>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</si>
  <si>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</si>
  <si>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</si>
  <si>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</si>
  <si>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</si>
  <si>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</si>
  <si>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</si>
  <si>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</si>
  <si>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</si>
  <si>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</si>
  <si>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</si>
  <si>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</si>
  <si>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</si>
  <si>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</si>
  <si>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</si>
  <si>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</si>
  <si>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</si>
  <si>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</si>
  <si>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</si>
  <si>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</si>
  <si>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</si>
  <si>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</si>
  <si>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</si>
  <si>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</si>
  <si>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</si>
  <si>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</si>
  <si>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</si>
  <si>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</si>
  <si>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</si>
  <si>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</si>
  <si>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</si>
  <si>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</si>
  <si>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</si>
  <si>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</si>
  <si>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</si>
  <si>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</si>
  <si>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</si>
  <si>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</si>
  <si>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</si>
  <si>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</si>
  <si>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</si>
  <si>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</si>
  <si>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</si>
  <si>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</si>
  <si>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</si>
  <si>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</si>
  <si>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</si>
  <si>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</si>
  <si>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</si>
  <si>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</si>
  <si>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</si>
  <si>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</si>
  <si>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</si>
  <si>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</si>
  <si>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</si>
  <si>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</si>
  <si>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</si>
  <si>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</si>
  <si>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</si>
  <si>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</si>
  <si>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</si>
  <si>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</si>
  <si>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</si>
  <si>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</si>
  <si>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</si>
  <si>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</si>
  <si>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</si>
  <si>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</si>
  <si>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</si>
  <si>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</si>
  <si>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</si>
  <si>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</si>
  <si>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</si>
  <si>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</si>
  <si>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</si>
  <si>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</si>
  <si>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</si>
  <si>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</si>
  <si>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</si>
  <si>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</si>
  <si>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</si>
  <si>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</si>
  <si>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</si>
  <si>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</si>
  <si>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</si>
  <si>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</si>
  <si>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</si>
  <si>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</si>
  <si>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</si>
  <si>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</si>
  <si>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</si>
  <si>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</si>
  <si>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</si>
  <si>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</si>
  <si>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</si>
  <si>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</si>
  <si>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</si>
  <si>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</si>
  <si>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</si>
  <si>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</si>
  <si>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</si>
  <si>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</si>
  <si>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</si>
  <si>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</si>
  <si>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</si>
  <si>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</si>
  <si>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</si>
  <si>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</si>
  <si>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</si>
  <si>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</si>
  <si>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</si>
  <si>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</si>
  <si>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</si>
  <si>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</si>
  <si>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</si>
  <si>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</si>
  <si>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</si>
  <si>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</si>
  <si>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</si>
  <si>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</si>
  <si>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</si>
  <si>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</si>
  <si>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</si>
  <si>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</si>
  <si>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</si>
  <si>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</si>
  <si>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</si>
  <si>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</si>
  <si>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</si>
  <si>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</si>
  <si>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</si>
  <si>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</si>
  <si>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</si>
  <si>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</si>
  <si>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</si>
  <si>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</si>
  <si>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</si>
  <si>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</si>
  <si>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</si>
  <si>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</si>
  <si>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</si>
  <si>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</si>
  <si>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</si>
  <si>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</si>
  <si>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</si>
  <si>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</si>
  <si>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</si>
  <si>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</si>
  <si>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</si>
  <si>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</si>
  <si>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</si>
  <si>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</si>
  <si>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</si>
  <si>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</si>
  <si>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</si>
  <si>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</si>
  <si>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</si>
  <si>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</si>
  <si>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</si>
  <si>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</si>
  <si>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</si>
  <si>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</si>
  <si>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</si>
  <si>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</si>
  <si>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</si>
  <si>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</si>
  <si>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</si>
  <si>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</si>
  <si>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</si>
  <si>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</si>
  <si>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</si>
  <si>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</si>
  <si>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</si>
  <si>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</si>
  <si>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</si>
  <si>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</si>
  <si>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</si>
  <si>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</si>
  <si>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</si>
  <si>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</si>
  <si>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</si>
  <si>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</si>
  <si>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</si>
  <si>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</si>
  <si>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</si>
  <si>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</si>
  <si>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</si>
  <si>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</si>
  <si>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</si>
  <si>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</si>
  <si>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</si>
  <si>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</si>
  <si>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</si>
  <si>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</si>
  <si>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</si>
  <si>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</si>
  <si>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</si>
  <si>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</si>
  <si>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</si>
  <si>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</si>
  <si>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</si>
  <si>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</si>
  <si>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</si>
  <si>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</si>
  <si>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</si>
  <si>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</si>
  <si>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</si>
  <si>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</si>
  <si>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</si>
  <si>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</si>
  <si>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</si>
  <si>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</si>
  <si>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</si>
  <si>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</si>
  <si>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</si>
  <si>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</si>
  <si>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</si>
  <si>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</si>
  <si>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</si>
  <si>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</si>
  <si>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</si>
  <si>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</si>
  <si>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</si>
  <si>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</si>
  <si>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</si>
  <si>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</si>
  <si>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</si>
  <si>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</si>
  <si>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</si>
  <si>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</si>
  <si>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</si>
  <si>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</si>
  <si>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</si>
  <si>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</si>
  <si>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</si>
  <si>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</si>
  <si>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</si>
  <si>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</si>
  <si>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</si>
  <si>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</si>
  <si>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</si>
  <si>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</si>
  <si>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</si>
  <si>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</si>
  <si>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</si>
  <si>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</si>
  <si>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</si>
  <si>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</si>
  <si>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</si>
  <si>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</si>
  <si>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</si>
  <si>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</si>
  <si>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</si>
  <si>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</si>
  <si>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</si>
  <si>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</si>
  <si>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</si>
  <si>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</si>
  <si>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</si>
  <si>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</si>
  <si>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</si>
  <si>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</si>
  <si>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</si>
  <si>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</si>
  <si>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</si>
  <si>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</si>
  <si>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</si>
  <si>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</si>
  <si>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</si>
  <si>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</si>
  <si>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</si>
  <si>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</si>
  <si>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</si>
  <si>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</si>
  <si>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</si>
  <si>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</si>
  <si>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</si>
  <si>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</si>
  <si>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</si>
  <si>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</si>
  <si>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</si>
  <si>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</si>
  <si>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</si>
  <si>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</si>
  <si>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</si>
  <si>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</si>
  <si>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</si>
  <si>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</si>
  <si>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</si>
  <si>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</si>
  <si>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</si>
  <si>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</si>
  <si>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</si>
  <si>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</si>
  <si>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</si>
  <si>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</si>
  <si>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</si>
  <si>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</si>
  <si>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</si>
  <si>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</si>
  <si>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</si>
  <si>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</si>
  <si>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</si>
  <si>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</si>
  <si>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</si>
  <si>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</si>
  <si>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</si>
  <si>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</si>
  <si>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</si>
  <si>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</si>
  <si>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</si>
  <si>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</si>
  <si>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</si>
  <si>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</si>
  <si>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</si>
  <si>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</si>
  <si>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</si>
  <si>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</si>
  <si>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</si>
  <si>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</si>
  <si>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</si>
  <si>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</si>
  <si>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</si>
  <si>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</si>
  <si>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</si>
  <si>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</si>
  <si>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</si>
  <si>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</si>
  <si>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</si>
  <si>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</si>
  <si>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</si>
  <si>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</si>
  <si>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</si>
  <si>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</si>
  <si>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</si>
  <si>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</si>
  <si>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</si>
  <si>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</si>
  <si>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</si>
  <si>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</si>
  <si>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</si>
  <si>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</si>
  <si>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</si>
  <si>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</si>
  <si>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</si>
  <si>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</si>
  <si>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</si>
  <si>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</si>
  <si>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</si>
  <si>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</si>
  <si>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</si>
  <si>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</si>
  <si>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</si>
  <si>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</si>
  <si>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</si>
  <si>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</si>
  <si>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</si>
  <si>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</si>
  <si>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</si>
  <si>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</si>
  <si>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</si>
  <si>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</si>
  <si>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</si>
  <si>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</si>
  <si>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</si>
  <si>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</si>
  <si>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</si>
  <si>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</si>
  <si>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</si>
  <si>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</si>
  <si>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</si>
  <si>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</si>
  <si>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</si>
  <si>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</si>
  <si>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</si>
  <si>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</si>
  <si>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</si>
  <si>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</si>
  <si>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</si>
  <si>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</si>
  <si>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</si>
  <si>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</si>
  <si>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</si>
  <si>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</si>
  <si>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</si>
  <si>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</si>
  <si>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</si>
  <si>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</si>
  <si>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</si>
  <si>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</si>
  <si>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</si>
  <si>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</si>
  <si>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</si>
  <si>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</si>
  <si>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</si>
  <si>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</si>
  <si>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</si>
  <si>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</si>
  <si>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</si>
  <si>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</si>
  <si>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</si>
  <si>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</si>
  <si>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</si>
  <si>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</si>
  <si>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</si>
  <si>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</si>
  <si>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</si>
  <si>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</si>
  <si>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</si>
  <si>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</si>
  <si>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</si>
  <si>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</si>
  <si>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</si>
  <si>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</si>
  <si>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</si>
  <si>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</si>
  <si>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</si>
  <si>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</si>
  <si>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</si>
  <si>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</si>
  <si>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</si>
  <si>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</si>
  <si>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</si>
  <si>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</si>
  <si>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</si>
  <si>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</si>
  <si>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</si>
  <si>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</si>
  <si>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</si>
  <si>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</si>
  <si>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</si>
  <si>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</si>
  <si>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</si>
  <si>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</si>
  <si>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</si>
  <si>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</si>
  <si>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</si>
  <si>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</si>
  <si>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</si>
  <si>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</si>
  <si>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</si>
  <si>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</si>
  <si>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</si>
  <si>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</si>
  <si>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</si>
  <si>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</si>
  <si>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</si>
  <si>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</si>
  <si>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</si>
  <si>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</si>
  <si>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</si>
  <si>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</si>
  <si>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</si>
  <si>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</si>
  <si>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</si>
  <si>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</si>
  <si>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</si>
  <si>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</si>
  <si>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</si>
  <si>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</si>
  <si>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</si>
  <si>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</si>
  <si>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</si>
  <si>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</si>
  <si>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</si>
  <si>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</si>
  <si>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</si>
  <si>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</si>
  <si>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</si>
  <si>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</si>
  <si>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</si>
  <si>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</si>
  <si>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</si>
  <si>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</si>
  <si>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</si>
  <si>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</si>
  <si>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</si>
  <si>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</si>
  <si>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</si>
  <si>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</si>
  <si>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</si>
  <si>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</si>
  <si>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</si>
  <si>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</si>
  <si>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</si>
  <si>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</si>
  <si>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</si>
  <si>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</si>
  <si>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</si>
  <si>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</si>
  <si>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</si>
  <si>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</si>
  <si>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</si>
  <si>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</si>
  <si>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</si>
  <si>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</si>
  <si>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</si>
  <si>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</si>
  <si>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</si>
  <si>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</si>
  <si>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</si>
  <si>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</si>
  <si>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</si>
  <si>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</si>
  <si>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</si>
  <si>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</si>
  <si>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</si>
  <si>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</si>
  <si>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</si>
  <si>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</si>
  <si>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</si>
  <si>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</si>
  <si>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</si>
  <si>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</si>
  <si>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</si>
  <si>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</si>
  <si>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</si>
  <si>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</si>
  <si>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</si>
  <si>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</si>
  <si>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</si>
  <si>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</si>
  <si>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</si>
  <si>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</si>
  <si>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</si>
  <si>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</si>
  <si>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</si>
  <si>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</si>
  <si>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</si>
  <si>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</si>
  <si>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</si>
  <si>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</si>
  <si>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</si>
  <si>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</si>
  <si>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</si>
  <si>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</si>
  <si>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</si>
  <si>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</si>
  <si>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</si>
  <si>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</si>
  <si>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</si>
  <si>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</si>
  <si>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</si>
  <si>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</si>
  <si>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</si>
  <si>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</si>
  <si>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</si>
  <si>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</si>
  <si>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</si>
  <si>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</si>
  <si>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</si>
  <si>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</si>
  <si>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</si>
  <si>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</si>
  <si>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</si>
  <si>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</si>
  <si>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</si>
  <si>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</si>
  <si>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</si>
  <si>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</si>
  <si>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</si>
  <si>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</si>
  <si>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</si>
  <si>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</si>
  <si>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</si>
  <si>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</si>
  <si>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</si>
  <si>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</si>
  <si>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</si>
  <si>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</si>
  <si>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</si>
  <si>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</si>
  <si>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</si>
  <si>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</si>
  <si>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</si>
  <si>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</si>
  <si>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</si>
  <si>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</si>
  <si>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</si>
  <si>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</si>
  <si>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</si>
  <si>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</si>
  <si>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</si>
  <si>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</si>
  <si>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</si>
  <si>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</si>
  <si>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</si>
  <si>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</si>
  <si>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</si>
  <si>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</si>
  <si>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</si>
  <si>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</si>
  <si>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</si>
  <si>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</si>
  <si>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</si>
  <si>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</si>
  <si>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</si>
  <si>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</si>
  <si>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</si>
  <si>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</si>
  <si>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</si>
  <si>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</si>
  <si>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</si>
  <si>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</si>
  <si>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</si>
  <si>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</si>
  <si>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</si>
  <si>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</si>
  <si>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</si>
  <si>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</si>
  <si>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</si>
  <si>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</si>
  <si>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</si>
  <si>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</si>
  <si>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</si>
  <si>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</si>
  <si>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</si>
  <si>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</si>
  <si>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</si>
  <si>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</si>
  <si>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</si>
  <si>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</si>
  <si>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</si>
  <si>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</si>
  <si>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</si>
  <si>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</si>
  <si>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</si>
  <si>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</si>
  <si>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</si>
  <si>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</si>
  <si>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</si>
  <si>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</si>
  <si>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</si>
  <si>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</si>
  <si>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</si>
  <si>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</si>
  <si>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</si>
  <si>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</si>
  <si>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</si>
  <si>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</si>
  <si>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</si>
  <si>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</si>
  <si>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</si>
  <si>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</si>
  <si>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</si>
  <si>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</si>
  <si>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</si>
  <si>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</si>
  <si>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</si>
  <si>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</si>
  <si>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</si>
  <si>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</si>
  <si>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</si>
  <si>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</si>
  <si>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</si>
  <si>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</si>
  <si>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</si>
  <si>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</si>
  <si>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</si>
  <si>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</si>
  <si>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</si>
  <si>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</si>
  <si>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</si>
  <si>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</si>
  <si>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</si>
  <si>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</si>
  <si>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</si>
  <si>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</si>
  <si>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</si>
  <si>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</si>
  <si>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</si>
  <si>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</si>
  <si>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</si>
  <si>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</si>
  <si>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</si>
  <si>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</si>
  <si>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</si>
  <si>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</si>
  <si>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</si>
  <si>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</si>
  <si>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</si>
  <si>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</si>
  <si>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</si>
  <si>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</si>
  <si>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</si>
  <si>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</si>
  <si>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</si>
  <si>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</si>
  <si>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</si>
  <si>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</si>
  <si>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</si>
  <si>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</si>
  <si>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</si>
  <si>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</si>
  <si>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</si>
  <si>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</si>
  <si>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</si>
  <si>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</si>
  <si>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</si>
  <si>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</si>
  <si>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</si>
  <si>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</si>
  <si>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</si>
  <si>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</si>
  <si>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</si>
  <si>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</si>
  <si>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</si>
  <si>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</si>
  <si>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</si>
  <si>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</si>
  <si>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</si>
  <si>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</si>
  <si>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</si>
  <si>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</si>
  <si>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</si>
  <si>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</si>
  <si>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</si>
  <si>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</si>
  <si>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</si>
  <si>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</si>
  <si>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</si>
  <si>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</si>
  <si>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</si>
  <si>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</si>
  <si>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</si>
  <si>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</si>
  <si>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</si>
  <si>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</si>
  <si>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</si>
  <si>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</si>
  <si>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</si>
  <si>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</si>
  <si>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</si>
  <si>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</si>
  <si>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</si>
  <si>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</si>
  <si>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</si>
  <si>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</si>
  <si>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</si>
  <si>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</si>
  <si>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</si>
  <si>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</si>
  <si>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</si>
  <si>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</si>
  <si>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</si>
  <si>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</si>
  <si>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</si>
  <si>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</si>
  <si>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</si>
  <si>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</si>
  <si>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</si>
  <si>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</si>
  <si>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</si>
  <si>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</si>
  <si>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</si>
  <si>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</si>
  <si>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</si>
  <si>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</si>
  <si>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</si>
  <si>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</si>
  <si>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</si>
  <si>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</si>
  <si>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</si>
  <si>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</si>
  <si>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</si>
  <si>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</si>
  <si>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</si>
  <si>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</si>
  <si>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</si>
  <si>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</si>
  <si>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</si>
  <si>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</si>
  <si>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</si>
  <si>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</si>
  <si>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</si>
  <si>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</si>
  <si>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</si>
  <si>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</si>
  <si>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</si>
  <si>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</si>
  <si>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</si>
  <si>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</si>
  <si>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</si>
  <si>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</si>
  <si>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</si>
  <si>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</si>
  <si>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</si>
  <si>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</si>
  <si>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</si>
  <si>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</si>
  <si>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</si>
  <si>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</si>
  <si>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</si>
  <si>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</si>
  <si>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</si>
  <si>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</si>
  <si>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</si>
  <si>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</si>
  <si>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</si>
  <si>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</si>
  <si>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</si>
  <si>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</si>
  <si>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</si>
  <si>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</si>
  <si>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</si>
  <si>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</si>
  <si>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</si>
  <si>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</si>
  <si>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</si>
  <si>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</si>
  <si>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</si>
  <si>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</si>
  <si>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</si>
  <si>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</si>
  <si>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</si>
  <si>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</si>
  <si>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</si>
  <si>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</si>
  <si>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</si>
  <si>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</si>
  <si>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</si>
  <si>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</si>
  <si>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</si>
  <si>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</si>
  <si>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</si>
  <si>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</si>
  <si>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</si>
  <si>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</si>
  <si>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</si>
  <si>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</si>
  <si>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</si>
  <si>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</si>
  <si>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</si>
  <si>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</si>
  <si>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</si>
  <si>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</si>
  <si>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</si>
  <si>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</si>
  <si>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</si>
  <si>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</si>
  <si>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</si>
  <si>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</si>
  <si>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</si>
  <si>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</si>
  <si>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</si>
  <si>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</si>
  <si>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</si>
  <si>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</si>
  <si>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</si>
  <si>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</si>
  <si>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</si>
  <si>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</si>
  <si>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</si>
  <si>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</si>
  <si>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</si>
  <si>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</si>
  <si>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</si>
  <si>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</si>
  <si>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</si>
  <si>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</si>
  <si>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</si>
  <si>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</si>
  <si>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</si>
  <si>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</si>
  <si>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</si>
  <si>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</si>
  <si>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</si>
  <si>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</si>
  <si>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</si>
  <si>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</si>
  <si>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</si>
  <si>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</si>
  <si>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</si>
  <si>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</si>
  <si>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</si>
  <si>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</si>
  <si>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</si>
  <si>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</si>
  <si>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</si>
  <si>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</si>
  <si>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</si>
  <si>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</si>
  <si>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</si>
  <si>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</si>
  <si>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</si>
  <si>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</si>
  <si>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</si>
  <si>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</si>
  <si>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</si>
  <si>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</si>
  <si>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</si>
  <si>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</si>
  <si>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</si>
  <si>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</si>
  <si>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</si>
  <si>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</si>
  <si>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</si>
  <si>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</si>
  <si>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</si>
  <si>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</si>
  <si>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</si>
  <si>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</si>
  <si>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</si>
  <si>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</si>
  <si>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</si>
  <si>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</si>
  <si>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</si>
  <si>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</si>
  <si>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</si>
  <si>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</si>
  <si>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</si>
  <si>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</si>
  <si>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</si>
  <si>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</si>
  <si>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</si>
  <si>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</si>
  <si>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</si>
  <si>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</si>
  <si>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</si>
  <si>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</si>
  <si>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</si>
  <si>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</si>
  <si>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</si>
  <si>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</si>
  <si>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</si>
  <si>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</si>
  <si>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</si>
  <si>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</si>
  <si>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</si>
  <si>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</si>
  <si>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</si>
  <si>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</si>
  <si>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</si>
  <si>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</si>
  <si>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</si>
  <si>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</si>
  <si>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</si>
  <si>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</si>
  <si>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</si>
  <si>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</si>
  <si>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</si>
  <si>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</si>
  <si>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</si>
  <si>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</si>
  <si>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</si>
  <si>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</si>
  <si>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</si>
  <si>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</si>
  <si>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</si>
  <si>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</si>
  <si>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</si>
  <si>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</si>
  <si>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</si>
  <si>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</si>
  <si>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</si>
  <si>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</si>
  <si>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</si>
  <si>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</si>
  <si>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</si>
  <si>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</si>
  <si>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</si>
  <si>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</si>
  <si>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</si>
  <si>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</si>
  <si>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</si>
  <si>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</si>
  <si>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</si>
  <si>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</si>
  <si>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</si>
  <si>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</si>
  <si>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</si>
  <si>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</si>
  <si>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</si>
  <si>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</si>
  <si>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</si>
  <si>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</si>
  <si>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</si>
  <si>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</si>
  <si>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</si>
  <si>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</si>
  <si>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</si>
  <si>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</si>
  <si>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</si>
  <si>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</si>
  <si>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</si>
  <si>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</si>
  <si>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</si>
  <si>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</si>
  <si>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</si>
  <si>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</si>
  <si>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</si>
  <si>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</si>
  <si>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</si>
  <si>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</si>
  <si>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</si>
  <si>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</si>
  <si>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</si>
  <si>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</si>
  <si>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</si>
  <si>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</si>
  <si>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</si>
  <si>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</si>
  <si>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</si>
  <si>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</si>
  <si>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</si>
  <si>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</si>
  <si>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</si>
  <si>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</si>
  <si>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</si>
  <si>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</si>
  <si>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</si>
  <si>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</si>
  <si>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</si>
  <si>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</si>
  <si>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</si>
  <si>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</si>
  <si>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</si>
  <si>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</si>
  <si>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</si>
  <si>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</si>
  <si>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</si>
  <si>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</si>
  <si>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</si>
  <si>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</si>
  <si>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</si>
  <si>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</si>
  <si>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</si>
  <si>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</si>
  <si>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</si>
  <si>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</si>
  <si>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</si>
  <si>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</si>
  <si>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</si>
  <si>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</si>
  <si>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</si>
  <si>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</si>
  <si>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</si>
  <si>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</si>
  <si>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</si>
  <si>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</si>
  <si>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</si>
  <si>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</si>
  <si>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</si>
  <si>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</si>
  <si>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</si>
  <si>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</si>
  <si>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</si>
  <si>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</si>
  <si>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</si>
  <si>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</si>
  <si>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</si>
  <si>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</si>
  <si>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</si>
  <si>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</si>
  <si>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</si>
  <si>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</si>
  <si>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</si>
  <si>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</si>
  <si>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</si>
  <si>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</si>
  <si>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</si>
  <si>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</si>
  <si>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</si>
  <si>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</si>
  <si>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</si>
  <si>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</si>
  <si>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</si>
  <si>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</si>
  <si>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</si>
  <si>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</si>
  <si>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</si>
  <si>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</si>
  <si>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</si>
  <si>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</si>
  <si>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</si>
  <si>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</si>
  <si>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</si>
  <si>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</si>
  <si>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</si>
  <si>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</si>
  <si>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</si>
  <si>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</si>
  <si>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</si>
  <si>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</si>
  <si>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</si>
  <si>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</si>
  <si>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</si>
  <si>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</si>
  <si>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</si>
  <si>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</si>
  <si>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</si>
  <si>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</si>
  <si>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</si>
  <si>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</si>
  <si>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</si>
  <si>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</si>
  <si>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</si>
  <si>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</si>
  <si>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</si>
  <si>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</si>
  <si>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</si>
  <si>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</si>
  <si>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</si>
  <si>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</si>
  <si>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</si>
  <si>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</si>
  <si>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</si>
  <si>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</si>
  <si>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</si>
  <si>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</si>
  <si>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</si>
  <si>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</si>
  <si>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</si>
  <si>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</si>
  <si>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</si>
  <si>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</si>
  <si>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</si>
  <si>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</si>
  <si>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</si>
  <si>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</si>
  <si>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</si>
  <si>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</si>
  <si>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</si>
  <si>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</si>
  <si>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</si>
  <si>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</si>
  <si>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</si>
  <si>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</si>
  <si>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</si>
  <si>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</si>
  <si>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</si>
  <si>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</si>
  <si>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</si>
  <si>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</si>
  <si>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</si>
  <si>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</si>
  <si>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</si>
  <si>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</si>
  <si>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</si>
  <si>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</si>
  <si>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</si>
  <si>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</si>
  <si>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</si>
  <si>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</si>
  <si>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</si>
  <si>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</si>
  <si>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</si>
  <si>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</si>
  <si>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</si>
  <si>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</si>
  <si>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</si>
  <si>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</si>
  <si>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</si>
  <si>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</si>
  <si>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</si>
  <si>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</si>
  <si>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</si>
  <si>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</si>
  <si>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</si>
  <si>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</si>
  <si>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</si>
  <si>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</si>
  <si>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</si>
  <si>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</si>
  <si>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</si>
  <si>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</si>
  <si>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</si>
  <si>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</si>
  <si>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</si>
  <si>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</si>
  <si>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</si>
  <si>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</si>
  <si>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</si>
  <si>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</si>
  <si>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</si>
  <si>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</si>
  <si>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</si>
  <si>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</si>
  <si>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</si>
  <si>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</si>
  <si>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</si>
  <si>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</si>
  <si>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</si>
  <si>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</si>
  <si>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</si>
  <si>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</si>
  <si>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</si>
  <si>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</si>
  <si>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</si>
  <si>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</si>
  <si>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</si>
  <si>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</si>
  <si>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</si>
  <si>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</si>
  <si>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</si>
  <si>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</si>
  <si>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</si>
  <si>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</si>
  <si>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</si>
  <si>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</si>
  <si>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</si>
  <si>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</si>
  <si>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</si>
  <si>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</si>
  <si>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</si>
  <si>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</si>
  <si>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</si>
  <si>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</si>
  <si>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</si>
  <si>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</si>
  <si>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</si>
  <si>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</si>
  <si>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</si>
  <si>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</si>
  <si>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</si>
  <si>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</si>
  <si>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</si>
  <si>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</si>
  <si>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</si>
  <si>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</si>
  <si>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</si>
  <si>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</si>
  <si>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</si>
  <si>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</si>
  <si>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</si>
  <si>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</si>
  <si>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</si>
  <si>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</si>
  <si>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</si>
  <si>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</si>
  <si>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</si>
  <si>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</si>
  <si>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</si>
  <si>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</si>
  <si>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</si>
  <si>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</si>
  <si>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</si>
  <si>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</si>
  <si>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</si>
  <si>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</si>
  <si>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</si>
  <si>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</si>
  <si>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</si>
  <si>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</si>
  <si>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</si>
  <si>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</si>
  <si>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</si>
  <si>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</si>
  <si>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</si>
  <si>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</si>
  <si>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</si>
  <si>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</si>
  <si>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</si>
  <si>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</si>
  <si>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</si>
  <si>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</si>
  <si>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</si>
  <si>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</si>
  <si>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</si>
  <si>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</si>
  <si>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</si>
  <si>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</si>
  <si>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</si>
  <si>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</si>
  <si>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</si>
  <si>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</si>
  <si>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</si>
  <si>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</si>
  <si>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</si>
  <si>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</si>
  <si>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</si>
  <si>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</si>
  <si>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</si>
  <si>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</si>
  <si>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</si>
  <si>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</si>
  <si>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</si>
  <si>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</si>
  <si>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</si>
  <si>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</si>
  <si>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</si>
  <si>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</si>
  <si>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</si>
  <si>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</si>
  <si>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</si>
  <si>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</si>
  <si>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</si>
  <si>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</si>
  <si>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</si>
  <si>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</si>
  <si>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</si>
  <si>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</si>
  <si>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</si>
  <si>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</si>
  <si>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</si>
  <si>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</si>
  <si>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</si>
  <si>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</si>
  <si>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</si>
  <si>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</si>
  <si>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</si>
  <si>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</si>
  <si>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</si>
  <si>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</si>
  <si>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</si>
  <si>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</si>
  <si>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</si>
  <si>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</si>
  <si>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</si>
  <si>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</si>
  <si>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</si>
  <si>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</si>
  <si>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</si>
  <si>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</si>
  <si>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</si>
  <si>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</si>
  <si>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</si>
  <si>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</si>
  <si>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</si>
  <si>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</si>
  <si>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</si>
  <si>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</si>
  <si>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</si>
  <si>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</si>
  <si>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</si>
  <si>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</si>
  <si>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</si>
  <si>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</si>
  <si>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</si>
  <si>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</si>
  <si>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</si>
  <si>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</si>
  <si>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</si>
  <si>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</si>
  <si>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</si>
  <si>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</si>
  <si>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</si>
  <si>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</si>
  <si>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</si>
  <si>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</si>
  <si>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</si>
  <si>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</si>
  <si>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</si>
  <si>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</si>
  <si>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</si>
  <si>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</si>
  <si>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</si>
  <si>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</si>
  <si>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</si>
  <si>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</si>
  <si>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</si>
  <si>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</si>
  <si>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</si>
  <si>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</si>
  <si>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</si>
  <si>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</si>
  <si>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</si>
  <si>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</si>
  <si>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</si>
  <si>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</si>
  <si>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</si>
  <si>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</si>
  <si>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</si>
  <si>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</si>
  <si>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</si>
  <si>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</si>
  <si>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</si>
  <si>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</si>
  <si>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</si>
  <si>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</si>
  <si>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</si>
  <si>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</si>
  <si>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</si>
  <si>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</si>
  <si>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</si>
  <si>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</si>
  <si>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</si>
  <si>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</si>
  <si>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</si>
  <si>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</si>
  <si>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</si>
  <si>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</si>
  <si>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</si>
  <si>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</si>
  <si>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</si>
  <si>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</si>
  <si>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</si>
  <si>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</si>
  <si>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</si>
  <si>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</si>
  <si>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</si>
  <si>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</si>
  <si>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</si>
  <si>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</si>
  <si>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</si>
  <si>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</si>
  <si>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</si>
  <si>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</si>
  <si>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</si>
  <si>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</si>
  <si>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</si>
  <si>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</si>
  <si>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</si>
  <si>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</si>
  <si>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</si>
  <si>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</si>
  <si>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</si>
  <si>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</si>
  <si>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</si>
  <si>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</si>
  <si>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</si>
  <si>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</si>
  <si>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</si>
  <si>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</si>
  <si>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</si>
  <si>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</si>
  <si>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</si>
  <si>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</si>
  <si>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</si>
  <si>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</si>
  <si>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</si>
  <si>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</si>
  <si>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</si>
  <si>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</si>
  <si>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</si>
  <si>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</si>
  <si>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</si>
  <si>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</si>
  <si>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</si>
  <si>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</si>
  <si>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</si>
  <si>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</si>
  <si>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</si>
  <si>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</si>
  <si>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</si>
  <si>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</si>
  <si>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</si>
  <si>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</si>
  <si>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</si>
  <si>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</si>
  <si>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</si>
  <si>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</si>
  <si>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</si>
  <si>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</si>
  <si>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</si>
  <si>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</si>
  <si>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</si>
  <si>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</si>
  <si>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</si>
  <si>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</si>
  <si>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</si>
  <si>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</si>
  <si>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</si>
  <si>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</si>
  <si>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</si>
  <si>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</si>
  <si>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</si>
  <si>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</si>
  <si>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</si>
  <si>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</si>
  <si>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</si>
  <si>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</si>
  <si>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</si>
  <si>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</si>
  <si>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</si>
  <si>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</si>
  <si>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</si>
  <si>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</si>
  <si>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</si>
  <si>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</si>
  <si>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</si>
  <si>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</si>
  <si>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</si>
  <si>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</si>
  <si>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</si>
  <si>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</si>
  <si>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</si>
  <si>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</si>
  <si>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</si>
  <si>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</si>
  <si>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</si>
  <si>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</si>
  <si>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</si>
  <si>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</si>
  <si>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</si>
  <si>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</si>
  <si>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</si>
  <si>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</si>
  <si>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</si>
  <si>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</si>
  <si>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</si>
  <si>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</si>
  <si>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</si>
  <si>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</si>
  <si>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</si>
  <si>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</si>
  <si>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</si>
  <si>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</si>
  <si>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</si>
  <si>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</si>
  <si>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</si>
  <si>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</si>
  <si>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</si>
  <si>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</si>
  <si>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</si>
  <si>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</si>
  <si>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</si>
  <si>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</si>
  <si>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</si>
  <si>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</si>
  <si>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</si>
  <si>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</si>
  <si>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</si>
  <si>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</si>
  <si>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</si>
  <si>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</si>
  <si>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</si>
  <si>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</si>
  <si>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</si>
  <si>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</si>
  <si>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</si>
  <si>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</si>
  <si>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</si>
  <si>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</si>
  <si>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</si>
  <si>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</si>
  <si>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</si>
  <si>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</si>
  <si>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</si>
  <si>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</si>
  <si>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</si>
  <si>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</si>
  <si>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</si>
  <si>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</si>
  <si>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</si>
  <si>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</si>
  <si>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</si>
  <si>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</si>
  <si>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</si>
  <si>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</si>
  <si>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</si>
  <si>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</si>
  <si>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</si>
  <si>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</si>
  <si>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</si>
  <si>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</si>
  <si>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</si>
  <si>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</si>
  <si>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</si>
  <si>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</si>
  <si>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</si>
  <si>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</si>
  <si>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</si>
  <si>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</si>
  <si>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</si>
  <si>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</si>
  <si>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</si>
  <si>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</si>
  <si>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</si>
  <si>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</si>
  <si>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</si>
  <si>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</si>
  <si>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</si>
  <si>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</si>
  <si>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</si>
  <si>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</si>
  <si>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</si>
  <si>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</si>
  <si>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</si>
  <si>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</si>
  <si>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</si>
  <si>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</si>
  <si>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</si>
  <si>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</si>
  <si>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</si>
  <si>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</si>
  <si>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</si>
  <si>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</si>
  <si>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</si>
  <si>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</si>
  <si>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</si>
  <si>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</si>
  <si>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</si>
  <si>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</si>
  <si>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</si>
  <si>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</si>
  <si>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</si>
  <si>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</si>
  <si>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</si>
  <si>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</si>
  <si>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</si>
  <si>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</si>
  <si>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</si>
  <si>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</si>
  <si>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</si>
  <si>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</si>
  <si>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</si>
  <si>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</si>
  <si>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</si>
  <si>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</si>
  <si>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</si>
  <si>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</si>
  <si>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</si>
  <si>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</si>
  <si>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</si>
  <si>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</si>
  <si>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</si>
  <si>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</si>
  <si>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</si>
  <si>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</si>
  <si>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</si>
  <si>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</si>
  <si>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</si>
  <si>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</si>
  <si>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</si>
  <si>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</si>
  <si>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</si>
  <si>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</si>
  <si>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</si>
  <si>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</si>
  <si>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</si>
  <si>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</si>
  <si>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</si>
  <si>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</si>
  <si>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</si>
  <si>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</si>
  <si>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</si>
  <si>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</si>
  <si>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</si>
  <si>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</si>
  <si>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</si>
  <si>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</si>
  <si>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</si>
  <si>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</si>
  <si>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</si>
  <si>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</si>
  <si>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</si>
  <si>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</si>
  <si>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</si>
  <si>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</si>
  <si>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</si>
  <si>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</si>
  <si>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</si>
  <si>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</si>
  <si>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</si>
  <si>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</si>
  <si>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</si>
  <si>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</si>
  <si>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</si>
  <si>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</si>
  <si>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</si>
  <si>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</si>
  <si>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</si>
  <si>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</si>
  <si>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</si>
  <si>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</si>
  <si>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</si>
  <si>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</si>
  <si>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</si>
  <si>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</si>
  <si>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</si>
  <si>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</si>
  <si>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</si>
  <si>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</si>
  <si>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</si>
  <si>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</si>
  <si>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</si>
  <si>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</si>
  <si>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</si>
  <si>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</si>
  <si>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</si>
  <si>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</si>
  <si>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</si>
  <si>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</si>
  <si>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</si>
  <si>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</si>
  <si>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</si>
  <si>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</si>
  <si>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</si>
  <si>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</si>
  <si>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</si>
  <si>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</si>
  <si>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</si>
  <si>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</si>
  <si>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</si>
  <si>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</si>
  <si>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</si>
  <si>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</si>
  <si>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</si>
  <si>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</si>
  <si>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</si>
  <si>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</si>
  <si>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</si>
  <si>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</si>
  <si>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</si>
  <si>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</si>
  <si>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</si>
  <si>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</si>
  <si>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</si>
  <si>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</si>
  <si>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</si>
  <si>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</si>
  <si>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</si>
  <si>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</si>
  <si>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</si>
  <si>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</si>
  <si>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</si>
  <si>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</si>
  <si>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</si>
  <si>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</si>
  <si>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</si>
  <si>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</si>
  <si>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</si>
  <si>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</si>
  <si>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</si>
  <si>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</si>
  <si>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</si>
  <si>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</si>
  <si>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</si>
  <si>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</si>
  <si>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</si>
  <si>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</si>
  <si>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</si>
  <si>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</si>
  <si>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</si>
  <si>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</si>
  <si>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</si>
  <si>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</si>
  <si>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</si>
  <si>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</si>
  <si>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</si>
  <si>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</si>
  <si>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</si>
  <si>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</si>
  <si>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</si>
  <si>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</si>
  <si>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</si>
  <si>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</si>
  <si>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</si>
  <si>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</si>
  <si>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</si>
  <si>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</si>
  <si>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</si>
  <si>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</si>
  <si>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</si>
  <si>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</si>
  <si>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</si>
  <si>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</si>
  <si>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</si>
  <si>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</si>
  <si>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</si>
  <si>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</si>
  <si>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</si>
  <si>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</si>
  <si>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</si>
  <si>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</si>
  <si>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</si>
  <si>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</si>
  <si>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</si>
  <si>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</si>
  <si>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</si>
  <si>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</si>
  <si>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</si>
  <si>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</si>
  <si>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</si>
  <si>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</si>
  <si>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</si>
  <si>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</si>
  <si>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</si>
  <si>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</si>
  <si>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</si>
  <si>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</si>
  <si>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</si>
  <si>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</si>
  <si>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</si>
  <si>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</si>
  <si>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</si>
  <si>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</si>
  <si>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</si>
  <si>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</si>
  <si>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</si>
  <si>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</si>
  <si>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</si>
  <si>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</si>
  <si>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</si>
  <si>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</si>
  <si>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</si>
  <si>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</si>
  <si>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</si>
  <si>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</si>
  <si>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</si>
  <si>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</si>
  <si>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</si>
  <si>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</si>
  <si>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</si>
  <si>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</si>
  <si>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</si>
  <si>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</si>
  <si>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</si>
  <si>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</si>
  <si>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</si>
  <si>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</si>
  <si>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</si>
  <si>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</si>
  <si>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</si>
  <si>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</si>
  <si>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</si>
  <si>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</si>
  <si>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</si>
  <si>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</si>
  <si>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</si>
  <si>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</si>
  <si>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</si>
  <si>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</si>
  <si>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</si>
  <si>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</si>
  <si>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</si>
  <si>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</si>
  <si>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</si>
  <si>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</si>
  <si>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</si>
  <si>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</si>
  <si>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</si>
  <si>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</si>
  <si>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</si>
  <si>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</si>
  <si>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</si>
  <si>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</si>
  <si>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</si>
  <si>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</si>
  <si>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</si>
  <si>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</si>
  <si>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</si>
  <si>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</si>
  <si>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</si>
  <si>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</si>
  <si>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</si>
  <si>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</si>
  <si>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</si>
  <si>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</si>
  <si>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</si>
  <si>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</si>
  <si>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</si>
  <si>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</si>
  <si>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</si>
  <si>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</si>
  <si>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</si>
  <si>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</si>
  <si>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</si>
  <si>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</si>
  <si>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</si>
  <si>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</si>
  <si>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</si>
  <si>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</si>
  <si>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</si>
  <si>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</si>
  <si>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</si>
  <si>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</si>
  <si>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</si>
  <si>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</si>
  <si>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</si>
  <si>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</si>
  <si>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</si>
  <si>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</si>
  <si>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</si>
  <si>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</si>
  <si>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</si>
  <si>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</si>
  <si>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</si>
  <si>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</si>
  <si>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</si>
  <si>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</si>
  <si>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</si>
  <si>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</si>
  <si>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</si>
  <si>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</si>
  <si>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</si>
  <si>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</si>
  <si>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</si>
  <si>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</si>
  <si>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</si>
  <si>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</si>
  <si>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</si>
  <si>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</si>
  <si>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</si>
  <si>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</si>
  <si>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</si>
  <si>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</si>
  <si>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</si>
  <si>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</si>
  <si>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</si>
  <si>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</si>
  <si>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</si>
  <si>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</si>
  <si>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</si>
  <si>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</si>
  <si>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</si>
  <si>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</si>
  <si>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</si>
  <si>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</si>
  <si>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</si>
  <si>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</si>
  <si>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</si>
  <si>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</si>
  <si>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</si>
  <si>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</si>
  <si>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</si>
  <si>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</si>
  <si>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</si>
  <si>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</si>
  <si>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</si>
  <si>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</si>
  <si>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</si>
  <si>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</si>
  <si>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</si>
  <si>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</si>
  <si>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</si>
  <si>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</si>
  <si>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</si>
  <si>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</si>
  <si>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</si>
  <si>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</si>
  <si>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</si>
  <si>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</si>
  <si>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</si>
  <si>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</si>
  <si>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</si>
  <si>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</si>
  <si>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</si>
  <si>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</si>
  <si>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</si>
  <si>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</si>
  <si>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</si>
  <si>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</si>
  <si>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</si>
  <si>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</si>
  <si>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</si>
  <si>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</si>
  <si>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</si>
  <si>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</si>
  <si>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</si>
  <si>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</si>
  <si>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</si>
  <si>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</si>
  <si>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</si>
  <si>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</si>
  <si>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</si>
  <si>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</si>
  <si>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</si>
  <si>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</si>
  <si>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</si>
  <si>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</si>
  <si>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</si>
  <si>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</si>
  <si>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</si>
  <si>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</si>
  <si>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</si>
  <si>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</si>
  <si>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</si>
  <si>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</si>
  <si>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</si>
  <si>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</si>
  <si>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</si>
  <si>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</si>
  <si>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</si>
  <si>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</si>
  <si>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</si>
  <si>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</si>
  <si>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</si>
  <si>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</si>
  <si>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</si>
  <si>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</si>
  <si>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</si>
  <si>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</si>
  <si>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</si>
  <si>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</si>
  <si>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</si>
  <si>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</si>
  <si>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</si>
  <si>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</si>
  <si>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</si>
  <si>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</si>
  <si>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</si>
  <si>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</si>
  <si>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</si>
  <si>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</si>
  <si>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</si>
  <si>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</si>
  <si>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</si>
  <si>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</si>
  <si>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</si>
  <si>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</si>
  <si>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</si>
  <si>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</si>
  <si>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</si>
  <si>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</si>
  <si>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</si>
  <si>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</si>
  <si>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</si>
  <si>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</si>
  <si>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</si>
  <si>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</si>
  <si>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</si>
  <si>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</si>
  <si>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</si>
  <si>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</si>
  <si>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</si>
  <si>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</si>
  <si>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</si>
  <si>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</si>
  <si>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</si>
  <si>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</si>
  <si>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</si>
  <si>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</si>
  <si>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</si>
  <si>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</si>
  <si>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</si>
  <si>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</si>
  <si>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</si>
  <si>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</si>
  <si>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</si>
  <si>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</si>
  <si>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</si>
  <si>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</si>
  <si>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</si>
  <si>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</si>
  <si>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</si>
  <si>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</si>
  <si>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</si>
  <si>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</si>
  <si>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</si>
  <si>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</si>
  <si>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</si>
  <si>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</si>
  <si>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</si>
  <si>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</si>
  <si>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</si>
  <si>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</si>
  <si>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</si>
  <si>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</si>
  <si>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</si>
  <si>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</si>
  <si>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</si>
  <si>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</si>
  <si>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</si>
  <si>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</si>
  <si>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</si>
  <si>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</si>
  <si>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</si>
  <si>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</si>
  <si>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</si>
  <si>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</si>
  <si>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</si>
  <si>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</si>
  <si>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</si>
  <si>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</si>
  <si>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</si>
  <si>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</si>
  <si>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</si>
  <si>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</si>
  <si>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</si>
  <si>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</si>
  <si>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</si>
  <si>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</si>
  <si>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</si>
  <si>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</si>
  <si>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</si>
  <si>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</si>
  <si>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</si>
  <si>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</si>
  <si>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</si>
  <si>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</si>
  <si>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</si>
  <si>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</si>
  <si>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</si>
  <si>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</si>
  <si>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</si>
  <si>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</si>
  <si>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</si>
  <si>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</si>
  <si>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</si>
  <si>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</si>
  <si>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</si>
  <si>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</si>
  <si>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</si>
  <si>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</si>
  <si>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</si>
  <si>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</si>
  <si>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</si>
  <si>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</si>
  <si>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</si>
  <si>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</si>
  <si>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</si>
  <si>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</si>
  <si>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</si>
  <si>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</si>
  <si>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</si>
  <si>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</si>
  <si>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</si>
  <si>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</si>
  <si>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</si>
  <si>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</si>
  <si>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</si>
  <si>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</si>
  <si>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</si>
  <si>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</si>
  <si>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</si>
  <si>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</si>
  <si>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</si>
  <si>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</si>
  <si>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</si>
  <si>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</si>
  <si>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</si>
  <si>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</si>
  <si>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</si>
  <si>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</si>
  <si>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</si>
  <si>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</si>
  <si>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</si>
  <si>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</si>
  <si>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</si>
  <si>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</si>
  <si>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</si>
  <si>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</si>
  <si>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</si>
  <si>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</si>
  <si>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</si>
  <si>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</si>
  <si>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</si>
  <si>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</si>
  <si>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</si>
  <si>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</si>
  <si>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</si>
  <si>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</si>
  <si>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</si>
  <si>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</si>
  <si>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</si>
  <si>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</si>
  <si>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</si>
  <si>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</si>
  <si>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</si>
  <si>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</si>
  <si>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</si>
  <si>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</si>
  <si>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</si>
  <si>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</si>
  <si>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</si>
  <si>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</si>
  <si>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</si>
  <si>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</si>
  <si>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</si>
  <si>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</si>
  <si>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</si>
  <si>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</si>
  <si>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</si>
  <si>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</si>
  <si>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</si>
  <si>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</si>
  <si>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</si>
  <si>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</si>
  <si>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</si>
  <si>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</si>
  <si>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</si>
  <si>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</si>
  <si>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</si>
  <si>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</si>
  <si>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</si>
  <si>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</si>
  <si>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</si>
  <si>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</si>
  <si>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</si>
  <si>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</si>
  <si>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</si>
  <si>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</si>
  <si>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</si>
  <si>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</si>
  <si>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</si>
  <si>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</si>
  <si>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</si>
  <si>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</si>
  <si>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</si>
  <si>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</si>
  <si>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</si>
  <si>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</si>
  <si>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</si>
  <si>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</si>
  <si>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</si>
  <si>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</si>
  <si>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</si>
  <si>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</si>
  <si>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</si>
  <si>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</si>
  <si>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</si>
  <si>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</si>
  <si>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</si>
  <si>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</si>
  <si>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</si>
  <si>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</si>
  <si>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</si>
  <si>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</si>
  <si>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</si>
  <si>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</si>
  <si>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</si>
  <si>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</si>
  <si>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</si>
  <si>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</si>
  <si>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</si>
  <si>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</si>
  <si>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</si>
  <si>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</si>
  <si>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</si>
  <si>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</si>
  <si>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</si>
  <si>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</si>
  <si>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</si>
  <si>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</si>
  <si>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</si>
  <si>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</si>
  <si>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</si>
  <si>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</si>
  <si>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</si>
  <si>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</si>
  <si>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</si>
  <si>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</si>
  <si>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</si>
  <si>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</si>
  <si>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</si>
  <si>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</si>
  <si>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</si>
  <si>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</si>
  <si>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</si>
  <si>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</si>
  <si>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</si>
  <si>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</si>
  <si>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</si>
  <si>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</si>
  <si>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</si>
  <si>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</si>
  <si>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</si>
  <si>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</si>
  <si>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</si>
  <si>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</si>
  <si>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</si>
  <si>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</si>
  <si>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</si>
  <si>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</si>
  <si>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</si>
  <si>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</si>
  <si>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</si>
  <si>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</si>
  <si>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</si>
  <si>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</si>
  <si>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</si>
  <si>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</si>
  <si>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</si>
  <si>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</si>
  <si>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</si>
  <si>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</si>
  <si>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</si>
  <si>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</si>
  <si>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</si>
  <si>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</si>
  <si>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</si>
  <si>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</si>
  <si>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</si>
  <si>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</si>
  <si>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</si>
  <si>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</si>
  <si>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</si>
  <si>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</si>
  <si>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</si>
  <si>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</si>
  <si>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</si>
  <si>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</si>
  <si>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</si>
  <si>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</si>
  <si>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</si>
  <si>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</si>
  <si>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</si>
  <si>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</si>
  <si>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</si>
  <si>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</si>
  <si>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</si>
  <si>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</si>
  <si>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</si>
  <si>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</si>
  <si>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</si>
  <si>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</si>
  <si>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</si>
  <si>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</si>
  <si>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</si>
  <si>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</si>
  <si>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</si>
  <si>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</si>
  <si>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</si>
  <si>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</si>
  <si>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</si>
  <si>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</si>
  <si>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</si>
  <si>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</si>
  <si>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</si>
  <si>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</si>
  <si>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</si>
  <si>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</si>
  <si>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</si>
  <si>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</si>
  <si>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</si>
  <si>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</si>
  <si>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</si>
  <si>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</si>
  <si>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</si>
  <si>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</si>
  <si>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</si>
  <si>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</si>
  <si>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</si>
  <si>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</si>
  <si>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</si>
  <si>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</si>
  <si>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</si>
  <si>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</si>
  <si>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</si>
  <si>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</si>
  <si>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</si>
  <si>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</si>
  <si>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</si>
  <si>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</si>
  <si>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</si>
  <si>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</si>
  <si>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</si>
  <si>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</si>
  <si>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</si>
  <si>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</si>
  <si>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</si>
  <si>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</si>
  <si>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</si>
  <si>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</si>
  <si>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</si>
  <si>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</si>
  <si>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</si>
  <si>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</si>
  <si>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</si>
  <si>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</si>
  <si>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</si>
  <si>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</si>
  <si>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</si>
  <si>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</si>
  <si>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</si>
  <si>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</si>
  <si>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</si>
  <si>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</si>
  <si>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</si>
  <si>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</si>
  <si>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</si>
  <si>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</si>
  <si>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</si>
  <si>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</si>
  <si>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</si>
  <si>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</si>
  <si>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</si>
  <si>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</si>
  <si>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</si>
  <si>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</si>
  <si>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</si>
  <si>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</si>
  <si>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</si>
  <si>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</si>
  <si>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</si>
  <si>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</si>
  <si>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</si>
  <si>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</si>
  <si>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</si>
  <si>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</si>
  <si>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</si>
  <si>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</si>
  <si>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</si>
  <si>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</si>
  <si>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</si>
  <si>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</si>
  <si>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</si>
  <si>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</si>
  <si>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</si>
  <si>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</si>
  <si>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</si>
  <si>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</si>
  <si>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</si>
  <si>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</si>
  <si>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</si>
  <si>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</si>
  <si>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</si>
  <si>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</si>
  <si>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</si>
  <si>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</si>
  <si>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</si>
  <si>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</si>
  <si>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</si>
  <si>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</si>
  <si>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</si>
  <si>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</si>
  <si>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</si>
  <si>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</si>
  <si>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</si>
  <si>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</si>
  <si>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</si>
  <si>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</si>
  <si>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</si>
  <si>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</si>
  <si>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</si>
  <si>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</si>
  <si>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</si>
  <si>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</si>
  <si>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</si>
  <si>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</si>
  <si>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</si>
  <si>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</si>
  <si>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</si>
  <si>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</si>
  <si>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</si>
  <si>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</si>
  <si>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</si>
  <si>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</si>
  <si>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</si>
  <si>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</si>
  <si>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</si>
  <si>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</si>
  <si>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</si>
  <si>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</si>
  <si>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</si>
  <si>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</si>
  <si>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</si>
  <si>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</si>
  <si>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</si>
  <si>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</si>
  <si>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</si>
  <si>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</si>
  <si>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</si>
  <si>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</si>
  <si>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</si>
  <si>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</si>
  <si>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</si>
  <si>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</si>
  <si>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</si>
  <si>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</si>
  <si>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</si>
  <si>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</si>
  <si>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</si>
  <si>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</si>
  <si>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</si>
  <si>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</si>
  <si>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</si>
  <si>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</si>
  <si>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</si>
  <si>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</si>
  <si>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</si>
  <si>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</si>
  <si>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</si>
  <si>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</si>
  <si>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</si>
  <si>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</si>
  <si>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</si>
  <si>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</si>
  <si>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</si>
  <si>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</si>
  <si>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</si>
  <si>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</si>
  <si>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</si>
  <si>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</si>
  <si>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</si>
  <si>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</si>
  <si>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</si>
  <si>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</si>
  <si>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</si>
  <si>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</si>
  <si>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</si>
  <si>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</si>
  <si>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</si>
  <si>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</si>
  <si>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</si>
  <si>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</si>
  <si>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</si>
  <si>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</si>
  <si>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</si>
  <si>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</si>
  <si>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</si>
  <si>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</si>
  <si>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</si>
  <si>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</si>
  <si>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</si>
  <si>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</si>
  <si>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</si>
  <si>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</si>
  <si>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</si>
  <si>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</si>
  <si>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</si>
  <si>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</si>
  <si>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</si>
  <si>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</si>
  <si>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</si>
  <si>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</si>
  <si>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</si>
  <si>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</si>
  <si>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</si>
  <si>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</si>
  <si>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</si>
  <si>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</si>
  <si>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</si>
  <si>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</si>
  <si>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</si>
  <si>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</si>
  <si>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</si>
  <si>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</si>
  <si>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</si>
  <si>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</si>
  <si>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</si>
  <si>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</si>
  <si>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</si>
  <si>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</si>
  <si>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</si>
  <si>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</si>
  <si>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</si>
  <si>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</si>
  <si>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</si>
  <si>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</si>
  <si>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</si>
  <si>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</si>
  <si>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</si>
  <si>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</si>
  <si>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</si>
  <si>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</si>
  <si>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</si>
  <si>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</si>
  <si>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</si>
  <si>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</si>
  <si>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</si>
  <si>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</si>
  <si>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</si>
  <si>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</si>
  <si>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</si>
  <si>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</si>
  <si>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</si>
  <si>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</si>
  <si>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</si>
  <si>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</si>
  <si>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</si>
  <si>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</si>
  <si>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</si>
  <si>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</si>
  <si>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</si>
  <si>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</si>
  <si>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</si>
  <si>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</si>
  <si>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</si>
  <si>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</si>
  <si>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</si>
  <si>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</si>
  <si>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</si>
  <si>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</si>
  <si>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</si>
  <si>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</si>
  <si>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</si>
  <si>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</si>
  <si>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</si>
  <si>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</si>
  <si>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</si>
  <si>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</si>
  <si>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</si>
  <si>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</si>
  <si>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</si>
  <si>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</si>
  <si>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</si>
  <si>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</si>
  <si>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</si>
  <si>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</si>
  <si>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</si>
  <si>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</si>
  <si>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</si>
  <si>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</si>
  <si>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</si>
  <si>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</si>
  <si>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</si>
  <si>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</si>
  <si>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</si>
  <si>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</si>
  <si>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</si>
  <si>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</si>
  <si>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</si>
  <si>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</si>
  <si>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</si>
  <si>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</si>
  <si>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</si>
  <si>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</si>
  <si>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</si>
  <si>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</si>
  <si>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</si>
  <si>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</si>
  <si>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</si>
  <si>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</si>
  <si>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</si>
  <si>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</si>
  <si>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</si>
  <si>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</si>
  <si>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</si>
  <si>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</si>
  <si>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</si>
  <si>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</si>
  <si>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</si>
  <si>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</si>
  <si>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</si>
  <si>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</si>
  <si>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</si>
  <si>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</si>
  <si>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</si>
  <si>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</si>
  <si>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</si>
  <si>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</si>
  <si>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</si>
  <si>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</si>
  <si>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</si>
  <si>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</si>
  <si>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</si>
  <si>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</si>
  <si>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</si>
  <si>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</si>
  <si>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</si>
  <si>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</si>
  <si>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</si>
  <si>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</si>
  <si>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</si>
  <si>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</si>
  <si>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</si>
  <si>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</si>
  <si>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</si>
  <si>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</si>
  <si>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</si>
  <si>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</si>
  <si>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</si>
  <si>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</si>
  <si>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</si>
  <si>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</si>
  <si>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</si>
  <si>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</si>
  <si>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</si>
  <si>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</si>
  <si>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</si>
  <si>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</si>
  <si>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</si>
  <si>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</si>
  <si>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</si>
  <si>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</si>
  <si>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</si>
  <si>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</si>
  <si>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</si>
  <si>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</si>
  <si>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</si>
  <si>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</si>
  <si>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</si>
  <si>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</si>
  <si>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</si>
  <si>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</si>
  <si>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</si>
  <si>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</si>
  <si>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</si>
  <si>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</si>
  <si>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</si>
  <si>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</si>
  <si>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</si>
  <si>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</si>
  <si>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</si>
  <si>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</si>
  <si>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</si>
  <si>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</si>
  <si>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</si>
  <si>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</si>
  <si>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</si>
  <si>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</si>
  <si>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</si>
  <si>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</si>
  <si>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</si>
  <si>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</si>
  <si>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</si>
  <si>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</si>
  <si>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</si>
  <si>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</si>
  <si>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</si>
  <si>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</si>
  <si>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</si>
  <si>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</si>
  <si>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</si>
  <si>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</si>
  <si>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</si>
  <si>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</si>
  <si>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</si>
  <si>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</si>
  <si>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</si>
  <si>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</si>
  <si>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</si>
  <si>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</si>
  <si>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</si>
  <si>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</si>
  <si>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</si>
  <si>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</si>
  <si>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</si>
  <si>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</si>
  <si>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</si>
  <si>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</si>
  <si>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</si>
  <si>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</si>
  <si>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</si>
  <si>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</si>
  <si>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</si>
  <si>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</si>
  <si>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</si>
  <si>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</si>
  <si>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</si>
  <si>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</si>
  <si>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</si>
  <si>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</si>
  <si>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</si>
  <si>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</si>
  <si>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</si>
  <si>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</si>
  <si>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</si>
  <si>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</si>
  <si>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</si>
  <si>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</si>
  <si>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</si>
  <si>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</si>
  <si>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</si>
  <si>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</si>
  <si>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</si>
  <si>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</si>
  <si>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</si>
  <si>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</si>
  <si>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</si>
  <si>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</si>
  <si>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</si>
  <si>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</si>
  <si>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</si>
  <si>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</si>
  <si>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</si>
  <si>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</si>
  <si>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</si>
  <si>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</si>
  <si>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</si>
  <si>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</si>
  <si>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</si>
  <si>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</si>
  <si>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</si>
  <si>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</si>
  <si>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</si>
  <si>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</si>
  <si>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</si>
  <si>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</si>
  <si>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</si>
  <si>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</si>
  <si>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</si>
  <si>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</si>
  <si>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</si>
  <si>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</si>
  <si>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</si>
  <si>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</si>
  <si>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</si>
  <si>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</si>
  <si>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</si>
  <si>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</si>
  <si>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</si>
  <si>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</si>
  <si>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</si>
  <si>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</si>
  <si>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</si>
  <si>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</si>
  <si>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</si>
  <si>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</si>
  <si>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</si>
  <si>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</si>
  <si>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</si>
  <si>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</si>
  <si>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</si>
  <si>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</si>
  <si>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</si>
  <si>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</si>
  <si>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</si>
  <si>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</si>
  <si>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</si>
  <si>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</si>
  <si>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</si>
  <si>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</si>
  <si>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</si>
  <si>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</si>
  <si>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</si>
  <si>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</si>
  <si>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</si>
  <si>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</si>
  <si>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</si>
  <si>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</si>
  <si>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</si>
  <si>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</si>
  <si>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</si>
  <si>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</si>
  <si>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</si>
  <si>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</si>
  <si>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</si>
  <si>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</si>
  <si>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</si>
  <si>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</si>
  <si>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</si>
  <si>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</si>
  <si>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</si>
  <si>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</si>
  <si>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</si>
  <si>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</si>
  <si>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</si>
  <si>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</si>
  <si>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</si>
  <si>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</si>
  <si>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</si>
  <si>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</si>
  <si>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</si>
  <si>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</si>
  <si>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</si>
  <si>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</si>
  <si>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</si>
  <si>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</si>
  <si>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</si>
  <si>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</si>
  <si>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</si>
  <si>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</si>
  <si>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</si>
  <si>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</si>
  <si>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</si>
  <si>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</si>
  <si>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</si>
  <si>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</si>
  <si>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</si>
  <si>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</si>
  <si>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</si>
  <si>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</si>
  <si>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</si>
  <si>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</si>
  <si>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</si>
  <si>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</si>
  <si>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</si>
  <si>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</si>
  <si>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</si>
  <si>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</si>
  <si>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</si>
  <si>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</si>
  <si>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</si>
  <si>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</si>
  <si>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</si>
  <si>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</si>
  <si>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</si>
  <si>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</si>
  <si>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</si>
  <si>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</si>
  <si>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</si>
  <si>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</si>
  <si>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</si>
  <si>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</si>
  <si>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</si>
  <si>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</si>
  <si>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</si>
  <si>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</si>
  <si>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</si>
  <si>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</si>
  <si>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</si>
  <si>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</si>
  <si>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</si>
  <si>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</si>
  <si>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</si>
  <si>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</si>
  <si>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</si>
  <si>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</si>
  <si>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</si>
  <si>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</si>
  <si>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</si>
  <si>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</si>
  <si>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</si>
  <si>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</si>
  <si>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</si>
  <si>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</si>
  <si>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</si>
  <si>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</si>
  <si>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</si>
  <si>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</si>
  <si>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</si>
  <si>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</si>
  <si>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</si>
  <si>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</si>
  <si>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</si>
  <si>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</si>
  <si>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</si>
  <si>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</si>
  <si>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</si>
  <si>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</si>
  <si>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</si>
  <si>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</si>
  <si>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</si>
  <si>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</si>
  <si>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</si>
  <si>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</si>
  <si>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</si>
  <si>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</si>
  <si>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</si>
  <si>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</si>
  <si>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</si>
  <si>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</si>
  <si>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</si>
  <si>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</si>
  <si>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</si>
  <si>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</si>
  <si>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</si>
  <si>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</si>
  <si>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</si>
  <si>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</si>
  <si>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</si>
  <si>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</si>
  <si>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</si>
  <si>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</si>
  <si>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</si>
  <si>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</si>
  <si>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</si>
  <si>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</si>
  <si>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</si>
  <si>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</si>
  <si>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</si>
  <si>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</si>
  <si>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</si>
  <si>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</si>
  <si>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</si>
  <si>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</si>
  <si>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</si>
  <si>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</si>
  <si>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</si>
  <si>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</si>
  <si>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</si>
  <si>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</si>
  <si>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</si>
  <si>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</si>
  <si>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</si>
  <si>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</si>
  <si>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</si>
  <si>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</si>
  <si>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</si>
  <si>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</si>
  <si>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</si>
  <si>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</si>
  <si>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</si>
  <si>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</si>
  <si>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</si>
  <si>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</si>
  <si>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</si>
  <si>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</si>
  <si>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</si>
  <si>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</si>
  <si>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</si>
  <si>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</si>
  <si>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</si>
  <si>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</si>
  <si>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</si>
  <si>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</si>
  <si>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</si>
  <si>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</si>
  <si>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</si>
  <si>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</si>
  <si>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</si>
  <si>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</si>
  <si>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</si>
  <si>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</si>
  <si>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</si>
  <si>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</si>
  <si>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</si>
  <si>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</si>
  <si>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</si>
  <si>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</si>
  <si>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</si>
  <si>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</si>
  <si>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</si>
  <si>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</si>
  <si>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</si>
  <si>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</si>
  <si>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</si>
  <si>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</si>
  <si>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</si>
  <si>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</si>
  <si>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</si>
  <si>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</si>
  <si>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</si>
  <si>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</si>
  <si>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</si>
  <si>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</si>
  <si>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</si>
  <si>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</si>
  <si>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</si>
  <si>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</si>
  <si>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</si>
  <si>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</si>
  <si>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</si>
  <si>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</si>
  <si>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</si>
  <si>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</si>
  <si>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</si>
  <si>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</si>
  <si>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</si>
  <si>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</si>
  <si>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</si>
  <si>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</si>
  <si>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</si>
  <si>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</si>
  <si>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</si>
  <si>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</si>
  <si>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</si>
  <si>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</si>
  <si>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</si>
  <si>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</si>
  <si>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</si>
  <si>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</si>
  <si>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</si>
  <si>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</si>
  <si>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</si>
  <si>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</si>
  <si>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</si>
  <si>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</si>
  <si>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</si>
  <si>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</si>
  <si>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</si>
  <si>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</si>
  <si>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</si>
  <si>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</si>
  <si>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</si>
  <si>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</si>
  <si>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</si>
  <si>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</si>
  <si>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</si>
  <si>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</si>
  <si>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</si>
  <si>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</si>
  <si>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</si>
  <si>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</si>
  <si>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</si>
  <si>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</si>
  <si>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</si>
  <si>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</si>
  <si>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</si>
  <si>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</si>
  <si>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</si>
  <si>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</si>
  <si>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</si>
  <si>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</si>
  <si>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</si>
  <si>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</si>
  <si>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</si>
  <si>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</si>
  <si>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</si>
  <si>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</si>
  <si>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</si>
  <si>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</si>
  <si>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</si>
  <si>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</si>
  <si>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</si>
  <si>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</si>
  <si>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</si>
  <si>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</si>
  <si>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</si>
  <si>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</si>
  <si>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</si>
  <si>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</si>
  <si>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</si>
  <si>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</si>
  <si>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</si>
  <si>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</si>
  <si>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</si>
  <si>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</si>
  <si>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</si>
  <si>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</si>
  <si>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</si>
  <si>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</si>
  <si>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</si>
  <si>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</si>
  <si>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</si>
  <si>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</si>
  <si>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</si>
  <si>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</si>
  <si>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</si>
  <si>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</si>
  <si>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</si>
  <si>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</si>
  <si>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</si>
  <si>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</si>
  <si>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</si>
  <si>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</si>
  <si>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</si>
  <si>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</si>
  <si>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</si>
  <si>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</si>
  <si>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</si>
  <si>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</si>
  <si>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</si>
  <si>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</si>
  <si>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</si>
  <si>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</si>
  <si>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</si>
  <si>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</si>
  <si>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</si>
  <si>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</si>
  <si>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</si>
  <si>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</si>
  <si>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</si>
  <si>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</si>
  <si>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</si>
  <si>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</si>
  <si>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</si>
  <si>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</si>
  <si>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</si>
  <si>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</si>
  <si>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</si>
  <si>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</si>
  <si>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</si>
  <si>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</si>
  <si>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</si>
  <si>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</si>
  <si>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</si>
  <si>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</si>
  <si>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</si>
  <si>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</si>
  <si>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</si>
  <si>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</si>
  <si>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</si>
  <si>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</si>
  <si>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</si>
  <si>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</si>
  <si>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</si>
  <si>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</si>
  <si>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</si>
  <si>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</si>
  <si>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</si>
  <si>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</si>
  <si>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</si>
  <si>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</si>
  <si>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</si>
  <si>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</si>
  <si>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</si>
  <si>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</si>
  <si>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</si>
  <si>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</si>
  <si>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</si>
  <si>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</si>
  <si>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</si>
  <si>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</si>
  <si>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</si>
  <si>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</si>
  <si>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</si>
  <si>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</si>
  <si>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</si>
  <si>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</si>
  <si>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</si>
  <si>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</si>
  <si>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</si>
  <si>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</si>
  <si>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</si>
  <si>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</si>
  <si>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</si>
  <si>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</si>
  <si>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</si>
  <si>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</si>
  <si>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</si>
  <si>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</si>
  <si>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</si>
  <si>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</si>
  <si>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</si>
  <si>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</si>
  <si>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</si>
  <si>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</si>
  <si>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</si>
  <si>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</si>
  <si>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</si>
  <si>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</si>
  <si>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</si>
  <si>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</si>
  <si>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</si>
  <si>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</si>
  <si>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</si>
  <si>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</si>
  <si>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</si>
  <si>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</si>
  <si>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</si>
  <si>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</si>
  <si>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</si>
  <si>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</si>
  <si>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</si>
  <si>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</si>
  <si>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</si>
  <si>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</si>
  <si>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</si>
  <si>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</si>
  <si>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</si>
  <si>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</si>
  <si>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</si>
  <si>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</si>
  <si>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</si>
  <si>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</si>
  <si>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</si>
  <si>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</si>
  <si>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</si>
  <si>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</si>
  <si>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</si>
  <si>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</si>
  <si>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</si>
  <si>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</si>
  <si>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</si>
  <si>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</si>
  <si>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</si>
  <si>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</si>
  <si>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</si>
  <si>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</si>
  <si>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</si>
  <si>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</si>
  <si>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</si>
  <si>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</si>
  <si>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</si>
  <si>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</si>
  <si>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</si>
  <si>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</si>
  <si>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</si>
  <si>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</si>
  <si>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</si>
  <si>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</si>
  <si>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</si>
  <si>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</si>
  <si>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</si>
  <si>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</si>
  <si>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</si>
  <si>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</si>
  <si>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</si>
  <si>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</si>
  <si>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</si>
  <si>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</si>
  <si>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</si>
  <si>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</si>
  <si>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</si>
  <si>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</si>
  <si>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</si>
  <si>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</si>
  <si>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</si>
  <si>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</si>
  <si>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</si>
  <si>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</si>
  <si>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</si>
  <si>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</si>
  <si>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</si>
  <si>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</si>
  <si>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</si>
  <si>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</si>
  <si>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</si>
  <si>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</si>
  <si>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</si>
  <si>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</si>
  <si>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</si>
  <si>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</si>
  <si>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</si>
  <si>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</si>
  <si>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</si>
  <si>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</si>
  <si>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</si>
  <si>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</si>
  <si>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</si>
  <si>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</si>
  <si>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</si>
  <si>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</si>
  <si>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</si>
  <si>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</si>
  <si>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</si>
  <si>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</si>
  <si>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</si>
  <si>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</si>
  <si>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</si>
  <si>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</si>
  <si>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</si>
  <si>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</si>
  <si>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</si>
  <si>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</si>
  <si>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</si>
  <si>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</si>
  <si>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</si>
  <si>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</si>
  <si>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</si>
  <si>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</si>
  <si>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</si>
  <si>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</si>
  <si>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</si>
  <si>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</si>
  <si>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</si>
  <si>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</si>
  <si>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</si>
  <si>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</si>
  <si>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</si>
  <si>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</si>
  <si>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</si>
  <si>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</si>
  <si>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</si>
  <si>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</si>
  <si>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</si>
  <si>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</si>
  <si>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</si>
  <si>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</si>
  <si>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</si>
  <si>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</si>
  <si>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</si>
  <si>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</si>
  <si>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</si>
  <si>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</si>
  <si>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</si>
  <si>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</si>
  <si>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</si>
  <si>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</si>
  <si>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</si>
  <si>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</si>
  <si>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</si>
  <si>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</si>
  <si>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</si>
  <si>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</si>
  <si>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</si>
  <si>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</si>
  <si>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</si>
  <si>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</si>
  <si>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</si>
  <si>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</si>
  <si>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</si>
  <si>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</si>
  <si>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</si>
  <si>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</si>
  <si>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</si>
  <si>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</si>
  <si>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</si>
  <si>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</si>
  <si>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</si>
  <si>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</si>
  <si>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</si>
  <si>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</si>
  <si>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</si>
  <si>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</si>
  <si>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</si>
  <si>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</si>
  <si>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</si>
  <si>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</si>
  <si>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</si>
  <si>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</si>
  <si>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</si>
  <si>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</si>
  <si>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</si>
  <si>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</si>
  <si>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</si>
  <si>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</si>
  <si>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</si>
  <si>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</si>
  <si>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</si>
  <si>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</si>
  <si>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</si>
  <si>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</si>
  <si>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</si>
  <si>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</si>
  <si>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</si>
  <si>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</si>
  <si>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</si>
  <si>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</si>
  <si>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</si>
  <si>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</si>
  <si>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</si>
  <si>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</si>
  <si>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</si>
  <si>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</si>
  <si>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</si>
  <si>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</si>
  <si>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</si>
  <si>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</si>
  <si>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</si>
  <si>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</si>
  <si>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</si>
  <si>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</si>
  <si>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</si>
  <si>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</si>
  <si>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</si>
  <si>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</si>
  <si>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</si>
  <si>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</si>
  <si>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</si>
  <si>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</si>
  <si>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</si>
  <si>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</si>
  <si>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</si>
  <si>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</si>
  <si>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</si>
  <si>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</si>
  <si>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</si>
  <si>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</si>
  <si>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</si>
  <si>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</si>
  <si>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</si>
  <si>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</si>
  <si>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</si>
  <si>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</si>
  <si>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</si>
  <si>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</si>
  <si>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</si>
  <si>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</si>
  <si>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</si>
  <si>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</si>
  <si>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</si>
  <si>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</si>
  <si>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</si>
  <si>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</si>
  <si>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</si>
  <si>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</si>
  <si>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</si>
  <si>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</si>
  <si>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</si>
  <si>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</si>
  <si>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</si>
  <si>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</si>
  <si>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</si>
  <si>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</si>
  <si>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</si>
  <si>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</si>
  <si>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</si>
  <si>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</si>
  <si>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</si>
  <si>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</si>
  <si>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</si>
  <si>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</si>
  <si>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</si>
  <si>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</si>
  <si>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</si>
  <si>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</si>
  <si>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</si>
  <si>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</si>
  <si>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</si>
  <si>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</si>
  <si>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</si>
  <si>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</si>
  <si>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</si>
  <si>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</si>
  <si>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</si>
  <si>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</si>
  <si>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</si>
  <si>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</si>
  <si>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</si>
  <si>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</si>
  <si>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</si>
  <si>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</si>
  <si>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</si>
  <si>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</si>
  <si>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</si>
  <si>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</si>
  <si>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</si>
  <si>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</si>
  <si>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</si>
  <si>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</si>
  <si>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</si>
  <si>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</si>
  <si>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</si>
  <si>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</si>
  <si>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</si>
  <si>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</si>
  <si>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</si>
  <si>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</si>
  <si>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</si>
  <si>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</si>
  <si>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</si>
  <si>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</si>
  <si>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</si>
  <si>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</si>
  <si>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</si>
  <si>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</si>
  <si>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</si>
  <si>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</si>
  <si>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</si>
  <si>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</si>
  <si>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</si>
  <si>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</si>
  <si>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</si>
  <si>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</si>
  <si>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</si>
  <si>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</si>
  <si>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</si>
  <si>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</si>
  <si>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</si>
  <si>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</si>
  <si>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</si>
  <si>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</si>
  <si>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</si>
  <si>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</si>
  <si>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</si>
  <si>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</si>
  <si>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</si>
  <si>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</si>
  <si>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</si>
  <si>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</si>
  <si>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</si>
  <si>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</si>
  <si>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</si>
  <si>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</si>
  <si>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</si>
  <si>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</si>
  <si>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</si>
  <si>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</si>
  <si>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</si>
  <si>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</si>
  <si>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</si>
  <si>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</si>
  <si>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</si>
  <si>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</si>
  <si>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</si>
  <si>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</si>
  <si>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</si>
  <si>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</si>
  <si>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</si>
  <si>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</si>
  <si>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</si>
  <si>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</si>
  <si>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</si>
  <si>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</si>
  <si>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</si>
  <si>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</si>
  <si>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</si>
  <si>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</si>
  <si>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</si>
  <si>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</si>
  <si>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</si>
  <si>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</si>
  <si>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</si>
  <si>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</si>
  <si>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</si>
  <si>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</si>
  <si>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</si>
  <si>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</si>
  <si>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</si>
  <si>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</si>
  <si>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</si>
  <si>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</si>
  <si>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</si>
  <si>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</si>
  <si>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</si>
  <si>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</si>
  <si>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</si>
  <si>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</si>
  <si>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</si>
  <si>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</si>
  <si>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</si>
  <si>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</si>
  <si>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</si>
  <si>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</si>
  <si>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</si>
  <si>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</si>
  <si>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</si>
  <si>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</si>
  <si>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</si>
  <si>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</si>
  <si>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</si>
  <si>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</si>
  <si>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</si>
  <si>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</si>
  <si>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</si>
  <si>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</si>
  <si>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</si>
  <si>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</si>
  <si>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</si>
  <si>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</si>
  <si>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</si>
  <si>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</si>
  <si>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</si>
  <si>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</si>
  <si>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</si>
  <si>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</si>
  <si>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</si>
  <si>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</si>
  <si>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</si>
  <si>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</si>
  <si>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</si>
  <si>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</si>
  <si>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</si>
  <si>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</si>
  <si>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</si>
  <si>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</si>
  <si>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</si>
  <si>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</si>
  <si>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</si>
  <si>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</si>
  <si>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</si>
  <si>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</si>
  <si>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</si>
  <si>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</si>
  <si>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</si>
  <si>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</si>
  <si>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</si>
  <si>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</si>
  <si>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</si>
  <si>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</si>
  <si>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</si>
  <si>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</si>
  <si>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</si>
  <si>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</si>
  <si>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</si>
  <si>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</si>
  <si>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</si>
  <si>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</si>
  <si>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</si>
  <si>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</si>
  <si>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</si>
  <si>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</si>
  <si>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</si>
  <si>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</si>
  <si>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</si>
  <si>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</si>
  <si>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</si>
  <si>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</si>
  <si>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</si>
  <si>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</si>
  <si>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</si>
  <si>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</si>
  <si>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</si>
  <si>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</si>
  <si>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</si>
  <si>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</si>
  <si>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</si>
  <si>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</si>
  <si>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</si>
  <si>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</si>
  <si>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</si>
  <si>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</si>
  <si>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</si>
  <si>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</si>
  <si>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</si>
  <si>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</si>
  <si>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</si>
  <si>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</si>
  <si>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</si>
  <si>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</si>
  <si>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</si>
  <si>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</si>
  <si>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</si>
  <si>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</si>
  <si>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</si>
  <si>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</si>
  <si>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</si>
  <si>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</si>
  <si>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</si>
  <si>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</si>
  <si>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</si>
  <si>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</si>
  <si>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</si>
  <si>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</si>
  <si>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</si>
  <si>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</si>
  <si>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</si>
  <si>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</si>
  <si>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</si>
  <si>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</si>
  <si>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</si>
  <si>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</si>
  <si>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</si>
  <si>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</si>
  <si>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</si>
  <si>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</si>
  <si>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</si>
  <si>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</si>
  <si>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</si>
  <si>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</si>
  <si>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</si>
  <si>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</si>
  <si>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</si>
  <si>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</si>
  <si>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</si>
  <si>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</si>
  <si>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</si>
  <si>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</si>
  <si>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</si>
  <si>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</si>
  <si>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</si>
  <si>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</si>
  <si>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</si>
  <si>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</si>
  <si>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</si>
  <si>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</si>
  <si>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</si>
  <si>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</si>
  <si>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</si>
  <si>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</si>
  <si>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</si>
  <si>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</si>
  <si>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</si>
  <si>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</si>
  <si>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</si>
  <si>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</si>
  <si>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</si>
  <si>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</si>
  <si>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</si>
  <si>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</si>
  <si>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</si>
  <si>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</si>
  <si>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</si>
  <si>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</si>
  <si>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</si>
  <si>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</si>
  <si>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</si>
  <si>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</si>
  <si>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</si>
  <si>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</si>
  <si>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</si>
  <si>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</si>
  <si>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</si>
  <si>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</si>
  <si>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</si>
  <si>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</si>
  <si>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</si>
  <si>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</si>
  <si>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</si>
  <si>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</si>
  <si>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</si>
  <si>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</si>
  <si>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</si>
  <si>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</si>
  <si>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</si>
  <si>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</si>
  <si>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</si>
  <si>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</si>
  <si>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</si>
  <si>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</si>
  <si>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</si>
  <si>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</si>
  <si>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</si>
  <si>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</si>
  <si>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</si>
  <si>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</si>
  <si>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</si>
  <si>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</si>
  <si>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</si>
  <si>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</si>
  <si>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</si>
  <si>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</si>
  <si>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</si>
  <si>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</si>
  <si>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</si>
  <si>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</si>
  <si>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</si>
  <si>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</si>
  <si>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</si>
  <si>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</si>
  <si>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</si>
  <si>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</si>
  <si>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</si>
  <si>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</si>
  <si>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</si>
  <si>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</si>
  <si>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</si>
  <si>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</si>
  <si>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</si>
  <si>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</si>
  <si>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</si>
  <si>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</si>
  <si>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</si>
  <si>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</si>
  <si>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</si>
  <si>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</si>
  <si>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</si>
  <si>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</si>
  <si>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</si>
  <si>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</si>
  <si>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</si>
  <si>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</si>
  <si>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</si>
  <si>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</si>
  <si>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</si>
  <si>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</si>
  <si>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</si>
  <si>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</si>
  <si>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</si>
  <si>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</si>
  <si>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</si>
  <si>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</si>
  <si>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</si>
  <si>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</si>
  <si>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</si>
  <si>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</si>
  <si>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</si>
  <si>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</si>
  <si>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</si>
  <si>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</si>
  <si>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</si>
  <si>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</si>
  <si>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</si>
  <si>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</si>
  <si>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</si>
  <si>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</si>
  <si>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</si>
  <si>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</si>
  <si>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</si>
  <si>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</si>
  <si>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</si>
  <si>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</si>
  <si>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</si>
  <si>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</si>
  <si>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</si>
  <si>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</si>
  <si>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</si>
  <si>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</si>
  <si>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</si>
  <si>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</si>
  <si>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</si>
  <si>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</si>
  <si>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</si>
  <si>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</si>
  <si>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</si>
  <si>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</si>
  <si>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</si>
  <si>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</si>
  <si>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</si>
  <si>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</si>
  <si>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</si>
  <si>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</si>
  <si>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</si>
  <si>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</si>
  <si>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</si>
  <si>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</si>
  <si>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</si>
  <si>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</si>
  <si>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</si>
  <si>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</si>
  <si>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</si>
  <si>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</si>
  <si>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</si>
  <si>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</si>
  <si>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</si>
  <si>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</si>
  <si>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</si>
  <si>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</si>
  <si>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</si>
  <si>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</si>
  <si>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</si>
  <si>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</si>
  <si>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</si>
  <si>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</si>
  <si>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</si>
  <si>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</si>
  <si>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</si>
  <si>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</si>
  <si>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</si>
  <si>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</si>
  <si>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</si>
  <si>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</si>
  <si>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</si>
  <si>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</si>
  <si>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</si>
  <si>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</si>
  <si>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</si>
  <si>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</si>
  <si>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</si>
  <si>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</si>
  <si>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</si>
  <si>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</si>
  <si>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</si>
  <si>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</si>
  <si>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</si>
  <si>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</si>
  <si>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</si>
  <si>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</si>
  <si>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</si>
  <si>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</si>
  <si>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</si>
  <si>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</si>
  <si>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</si>
  <si>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</si>
  <si>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</si>
  <si>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</si>
  <si>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</si>
  <si>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</si>
  <si>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</si>
  <si>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</si>
  <si>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</si>
  <si>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</si>
  <si>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</si>
  <si>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</si>
  <si>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</si>
  <si>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</si>
  <si>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</si>
  <si>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</si>
  <si>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</si>
  <si>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</si>
  <si>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</si>
  <si>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</si>
  <si>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</si>
  <si>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</si>
  <si>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</si>
  <si>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</si>
  <si>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</si>
  <si>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</si>
  <si>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</si>
  <si>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</si>
  <si>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</si>
  <si>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</si>
  <si>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</si>
  <si>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</si>
  <si>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</si>
  <si>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</si>
  <si>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</si>
  <si>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</si>
  <si>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</si>
  <si>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</si>
  <si>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</si>
  <si>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</si>
  <si>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</si>
  <si>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</si>
  <si>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</si>
  <si>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</si>
  <si>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</si>
  <si>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</si>
  <si>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</si>
  <si>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</si>
  <si>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</si>
  <si>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</si>
  <si>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</si>
  <si>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</si>
  <si>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</si>
  <si>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</si>
  <si>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</si>
  <si>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</si>
  <si>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</si>
  <si>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</si>
  <si>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</si>
  <si>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</si>
  <si>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</si>
  <si>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</si>
  <si>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</si>
  <si>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</si>
  <si>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</si>
  <si>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</si>
  <si>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</si>
  <si>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</si>
  <si>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</si>
  <si>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</si>
  <si>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</si>
  <si>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</si>
  <si>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</si>
  <si>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</si>
  <si>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</si>
  <si>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</si>
  <si>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</si>
  <si>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</si>
  <si>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</si>
  <si>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</si>
  <si>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</si>
  <si>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</si>
  <si>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</si>
  <si>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</si>
  <si>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</si>
  <si>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</si>
  <si>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</si>
  <si>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</si>
  <si>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</si>
  <si>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</si>
  <si>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</si>
  <si>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</si>
  <si>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</si>
  <si>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</si>
  <si>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</si>
  <si>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</si>
  <si>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</si>
  <si>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</si>
  <si>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</si>
  <si>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</si>
  <si>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</si>
  <si>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</si>
  <si>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</si>
  <si>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</si>
  <si>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</si>
  <si>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</si>
  <si>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</si>
  <si>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</si>
  <si>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</si>
  <si>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</si>
  <si>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</si>
  <si>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</si>
  <si>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</si>
  <si>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</si>
  <si>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</si>
  <si>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</si>
  <si>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</si>
  <si>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</si>
  <si>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</si>
  <si>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</si>
  <si>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</si>
  <si>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</si>
  <si>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</si>
  <si>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</si>
  <si>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</si>
  <si>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</si>
  <si>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</si>
  <si>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</si>
  <si>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</si>
  <si>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</si>
  <si>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</si>
  <si>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</si>
  <si>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</si>
  <si>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</si>
  <si>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</si>
  <si>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</si>
  <si>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</si>
  <si>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</si>
  <si>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</si>
  <si>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</si>
  <si>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</si>
  <si>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</si>
  <si>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</si>
  <si>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</si>
  <si>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</si>
  <si>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</si>
  <si>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</si>
  <si>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</si>
  <si>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</si>
  <si>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</si>
  <si>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</si>
  <si>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</si>
  <si>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</si>
  <si>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</si>
  <si>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</si>
  <si>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</si>
  <si>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</si>
  <si>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</si>
  <si>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</si>
  <si>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</si>
  <si>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</si>
  <si>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</si>
  <si>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</si>
  <si>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</si>
  <si>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</si>
  <si>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</si>
  <si>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</si>
  <si>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</si>
  <si>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</si>
  <si>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</si>
  <si>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</si>
  <si>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</si>
  <si>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</si>
  <si>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</si>
  <si>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</si>
  <si>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</si>
  <si>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</si>
  <si>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</si>
  <si>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</si>
  <si>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</si>
  <si>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</si>
  <si>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</si>
  <si>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</si>
  <si>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</si>
  <si>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</si>
  <si>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</si>
  <si>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</si>
  <si>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</si>
  <si>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</si>
  <si>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</si>
  <si>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</si>
  <si>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</si>
  <si>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</si>
  <si>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</si>
  <si>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</si>
  <si>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</si>
  <si>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</si>
  <si>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</si>
  <si>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</si>
  <si>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</si>
  <si>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</si>
  <si>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</si>
  <si>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</si>
  <si>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</si>
  <si>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</si>
  <si>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</si>
  <si>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</si>
  <si>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</si>
  <si>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</si>
  <si>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</si>
  <si>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</si>
  <si>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</si>
  <si>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</si>
  <si>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</si>
  <si>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</si>
  <si>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</si>
  <si>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</si>
  <si>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</si>
  <si>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</si>
  <si>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</si>
  <si>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</si>
  <si>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</si>
  <si>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</si>
  <si>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</si>
  <si>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</si>
  <si>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</si>
  <si>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</si>
  <si>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</si>
  <si>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</si>
  <si>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</si>
  <si>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</si>
  <si>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</si>
  <si>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</si>
  <si>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</si>
  <si>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</si>
  <si>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</si>
  <si>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</si>
  <si>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</si>
  <si>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</si>
  <si>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</si>
  <si>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</si>
  <si>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</si>
  <si>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</si>
  <si>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</si>
  <si>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</si>
  <si>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</si>
  <si>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</si>
  <si>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</si>
  <si>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</si>
  <si>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</si>
  <si>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</si>
  <si>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</si>
  <si>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</si>
  <si>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</si>
  <si>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</si>
  <si>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</si>
  <si>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</si>
  <si>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</si>
  <si>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</si>
  <si>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</si>
  <si>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</si>
  <si>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</si>
  <si>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</si>
  <si>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</si>
  <si>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</si>
  <si>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</si>
  <si>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</si>
  <si>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</si>
  <si>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</si>
  <si>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</si>
  <si>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</si>
  <si>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</si>
  <si>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</si>
  <si>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</si>
  <si>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</si>
  <si>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</si>
  <si>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</si>
  <si>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</si>
  <si>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</si>
  <si>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</si>
  <si>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</si>
  <si>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</si>
  <si>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</si>
  <si>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</si>
  <si>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</si>
  <si>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</si>
  <si>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</si>
  <si>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</si>
  <si>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</si>
  <si>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</si>
  <si>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</si>
  <si>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</si>
  <si>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</si>
  <si>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</si>
  <si>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</si>
  <si>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</si>
  <si>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</si>
  <si>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</si>
  <si>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</si>
  <si>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</si>
  <si>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</si>
  <si>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</si>
  <si>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</si>
  <si>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</si>
  <si>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</si>
  <si>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</si>
  <si>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</si>
  <si>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</si>
  <si>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</si>
  <si>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</si>
  <si>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</si>
  <si>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</si>
  <si>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</si>
  <si>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</si>
  <si>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</si>
  <si>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</si>
  <si>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</si>
  <si>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</si>
  <si>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</si>
  <si>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</si>
  <si>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</si>
  <si>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</si>
  <si>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</si>
  <si>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</si>
  <si>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</si>
  <si>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</si>
  <si>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</si>
  <si>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</si>
  <si>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</si>
  <si>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</si>
  <si>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</si>
  <si>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</si>
  <si>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</si>
  <si>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</si>
  <si>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</si>
  <si>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</si>
  <si>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</si>
  <si>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</si>
  <si>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</si>
  <si>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</si>
  <si>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</si>
  <si>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</si>
  <si>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</si>
  <si>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</si>
  <si>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</si>
  <si>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</si>
  <si>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</si>
  <si>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</si>
  <si>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</si>
  <si>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</si>
  <si>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</si>
  <si>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</si>
  <si>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</si>
  <si>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</si>
  <si>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</si>
  <si>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</si>
  <si>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</si>
  <si>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</si>
  <si>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</si>
  <si>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</si>
  <si>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</si>
  <si>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</si>
  <si>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</si>
  <si>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</si>
  <si>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</si>
  <si>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</si>
  <si>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</si>
  <si>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</si>
  <si>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</si>
  <si>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</si>
  <si>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</si>
  <si>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</si>
  <si>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</si>
  <si>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</si>
  <si>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</si>
  <si>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</si>
  <si>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</si>
  <si>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</si>
  <si>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</si>
  <si>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</si>
  <si>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</si>
  <si>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</si>
  <si>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</si>
  <si>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</si>
  <si>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</si>
  <si>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</si>
  <si>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</si>
  <si>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</si>
  <si>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</si>
  <si>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</si>
  <si>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</si>
  <si>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</si>
  <si>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</si>
  <si>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</si>
  <si>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</si>
  <si>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</si>
  <si>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</si>
  <si>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</si>
  <si>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</si>
  <si>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</si>
  <si>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</si>
  <si>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</si>
  <si>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</si>
  <si>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</si>
  <si>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</si>
  <si>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</si>
  <si>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</si>
  <si>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</si>
  <si>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</si>
  <si>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</si>
  <si>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</si>
  <si>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</si>
  <si>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</si>
  <si>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</si>
  <si>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</si>
  <si>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</si>
  <si>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</si>
  <si>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</si>
  <si>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</si>
  <si>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</si>
  <si>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</si>
  <si>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</si>
  <si>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</si>
  <si>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</si>
  <si>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</si>
  <si>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</si>
  <si>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</si>
  <si>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</si>
  <si>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</si>
  <si>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</si>
  <si>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</si>
  <si>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</si>
  <si>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</si>
  <si>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</si>
  <si>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</si>
  <si>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</si>
  <si>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</si>
  <si>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</si>
  <si>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</si>
  <si>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</si>
  <si>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</si>
  <si>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</si>
  <si>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</si>
  <si>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</si>
  <si>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</si>
  <si>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</si>
  <si>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</si>
  <si>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</si>
  <si>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</si>
  <si>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</si>
  <si>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</si>
  <si>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</si>
  <si>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</si>
  <si>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</si>
  <si>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</si>
  <si>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</si>
  <si>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</si>
  <si>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</si>
  <si>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</si>
  <si>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</si>
  <si>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</si>
  <si>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</si>
  <si>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</si>
  <si>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</si>
  <si>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</si>
  <si>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</si>
  <si>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</si>
  <si>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</si>
  <si>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</si>
  <si>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</si>
  <si>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</si>
  <si>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</si>
  <si>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</si>
  <si>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</si>
  <si>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</si>
  <si>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</si>
  <si>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</si>
  <si>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</si>
  <si>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</si>
  <si>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</si>
  <si>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</si>
  <si>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</si>
  <si>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</si>
  <si>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</si>
  <si>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</si>
  <si>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</si>
  <si>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</si>
  <si>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</si>
  <si>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</si>
  <si>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</si>
  <si>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</si>
  <si>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</si>
  <si>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</si>
  <si>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</si>
  <si>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</si>
  <si>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</si>
  <si>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</si>
  <si>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</si>
  <si>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</si>
  <si>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</si>
  <si>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</si>
  <si>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</si>
  <si>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</si>
  <si>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</si>
  <si>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</si>
  <si>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</si>
  <si>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</si>
  <si>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</si>
  <si>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</si>
  <si>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</si>
  <si>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</si>
  <si>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</si>
  <si>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</si>
  <si>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</si>
  <si>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</si>
  <si>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</si>
  <si>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</si>
  <si>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</si>
  <si>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</si>
  <si>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</si>
  <si>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</si>
  <si>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</si>
  <si>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</si>
  <si>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</si>
  <si>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</si>
  <si>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</si>
  <si>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</si>
  <si>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</si>
  <si>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</si>
  <si>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</si>
  <si>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</si>
  <si>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</si>
  <si>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</si>
  <si>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</si>
  <si>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</si>
  <si>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</si>
  <si>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</si>
  <si>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</si>
  <si>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</si>
  <si>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</si>
  <si>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</si>
  <si>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</si>
  <si>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</si>
  <si>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</si>
  <si>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</si>
  <si>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</si>
  <si>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</si>
  <si>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</si>
  <si>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</si>
  <si>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</si>
  <si>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</si>
  <si>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</si>
  <si>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</si>
  <si>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</si>
  <si>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</si>
  <si>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</si>
  <si>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</si>
  <si>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</si>
  <si>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</si>
  <si>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</si>
  <si>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</si>
  <si>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</si>
  <si>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</si>
  <si>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</si>
  <si>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</si>
  <si>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</si>
  <si>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</si>
  <si>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</si>
  <si>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</si>
  <si>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</si>
  <si>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</si>
  <si>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</si>
  <si>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</si>
  <si>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</si>
  <si>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</si>
  <si>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</si>
  <si>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</si>
  <si>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</si>
  <si>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</si>
  <si>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</si>
  <si>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</si>
  <si>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</si>
  <si>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</si>
  <si>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</si>
  <si>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</si>
  <si>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</si>
  <si>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</si>
  <si>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</si>
  <si>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</si>
  <si>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</si>
  <si>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</si>
  <si>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</si>
  <si>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</si>
  <si>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</si>
  <si>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</si>
  <si>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</si>
  <si>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</si>
  <si>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</si>
  <si>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</si>
  <si>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</si>
  <si>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</si>
  <si>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</si>
  <si>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</si>
  <si>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</si>
  <si>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</si>
  <si>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</si>
  <si>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</si>
  <si>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</si>
  <si>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</si>
  <si>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</si>
  <si>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</si>
  <si>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</si>
  <si>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</si>
  <si>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</si>
  <si>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</si>
  <si>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</si>
  <si>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</si>
  <si>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</si>
  <si>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</si>
  <si>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</si>
  <si>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</si>
  <si>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</si>
  <si>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</si>
  <si>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</si>
  <si>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</si>
  <si>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</si>
  <si>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</si>
  <si>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</si>
  <si>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</si>
  <si>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</si>
  <si>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</si>
  <si>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</si>
  <si>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</si>
  <si>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</si>
  <si>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</si>
  <si>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</si>
  <si>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</si>
  <si>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</si>
  <si>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</si>
  <si>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</si>
  <si>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</si>
  <si>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</si>
  <si>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</si>
  <si>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</si>
  <si>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</si>
  <si>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</si>
  <si>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</si>
  <si>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</si>
  <si>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</si>
  <si>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</si>
  <si>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</si>
  <si>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</si>
  <si>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</si>
  <si>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</si>
  <si>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</si>
  <si>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</si>
  <si>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</si>
  <si>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</si>
  <si>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</si>
  <si>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</si>
  <si>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</si>
  <si>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</si>
  <si>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</si>
  <si>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</si>
  <si>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</si>
  <si>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</si>
  <si>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</si>
  <si>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</si>
  <si>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</si>
  <si>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</si>
  <si>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</si>
  <si>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</si>
  <si>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</si>
  <si>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</si>
  <si>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</si>
  <si>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</si>
  <si>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</si>
  <si>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</si>
  <si>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</si>
  <si>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</si>
  <si>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</si>
  <si>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</si>
  <si>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</si>
  <si>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</si>
  <si>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</si>
  <si>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</si>
  <si>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</si>
  <si>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</si>
  <si>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</si>
  <si>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</si>
  <si>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</si>
  <si>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</si>
  <si>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</si>
  <si>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</si>
  <si>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</si>
  <si>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</si>
  <si>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</si>
  <si>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</si>
  <si>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</si>
  <si>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</si>
  <si>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</si>
  <si>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</si>
  <si>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</si>
  <si>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</si>
  <si>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</si>
  <si>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</si>
  <si>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</si>
  <si>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</si>
  <si>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</si>
  <si>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</si>
  <si>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</si>
  <si>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</si>
  <si>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</si>
  <si>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</si>
  <si>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</si>
  <si>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</si>
  <si>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</si>
  <si>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</si>
  <si>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</si>
  <si>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</si>
  <si>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</si>
  <si>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</si>
  <si>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</si>
  <si>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</si>
  <si>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</si>
  <si>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</si>
  <si>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</si>
  <si>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</si>
  <si>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</si>
  <si>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</si>
  <si>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</si>
  <si>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</si>
  <si>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</si>
  <si>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</si>
  <si>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</si>
  <si>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</si>
  <si>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</si>
  <si>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</si>
  <si>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</si>
  <si>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</si>
  <si>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</si>
  <si>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</si>
  <si>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</si>
  <si>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</si>
  <si>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</si>
  <si>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</si>
  <si>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</si>
  <si>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</si>
  <si>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</si>
  <si>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</si>
  <si>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</si>
  <si>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</si>
  <si>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</si>
  <si>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</si>
  <si>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</si>
  <si>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</si>
  <si>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</si>
  <si>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</si>
  <si>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</si>
  <si>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</si>
  <si>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</si>
  <si>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</si>
  <si>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</si>
  <si>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</si>
  <si>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</si>
  <si>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</si>
  <si>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</si>
  <si>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</si>
  <si>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</si>
  <si>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</si>
  <si>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</si>
  <si>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</si>
  <si>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</si>
  <si>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</si>
  <si>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</si>
  <si>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</si>
  <si>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</si>
  <si>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</si>
  <si>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</si>
  <si>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</si>
  <si>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</si>
  <si>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</si>
  <si>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</si>
  <si>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</si>
  <si>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</si>
  <si>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</si>
  <si>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</si>
  <si>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</si>
  <si>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</si>
  <si>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</si>
  <si>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</si>
  <si>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</si>
  <si>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</si>
  <si>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</si>
  <si>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</si>
  <si>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</si>
  <si>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</si>
  <si>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</si>
  <si>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</si>
  <si>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</si>
  <si>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</si>
  <si>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</si>
  <si>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</si>
  <si>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</si>
  <si>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</si>
  <si>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</si>
  <si>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</si>
  <si>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</si>
  <si>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</si>
  <si>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</si>
  <si>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</si>
  <si>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</si>
  <si>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</si>
  <si>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</si>
  <si>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</si>
  <si>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</si>
  <si>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</si>
  <si>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</si>
  <si>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</si>
  <si>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</si>
  <si>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</si>
  <si>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</si>
  <si>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</si>
  <si>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</si>
  <si>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</si>
  <si>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</si>
  <si>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</si>
  <si>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</si>
  <si>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</si>
  <si>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</si>
  <si>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</si>
  <si>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</si>
  <si>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</si>
  <si>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</si>
  <si>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</si>
  <si>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</si>
  <si>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</si>
  <si>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</si>
  <si>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</si>
  <si>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</si>
  <si>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</si>
  <si>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</si>
  <si>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</si>
  <si>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</si>
  <si>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</si>
  <si>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</si>
  <si>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</si>
  <si>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</si>
  <si>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</si>
  <si>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</si>
  <si>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</si>
  <si>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</si>
  <si>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</si>
  <si>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</si>
  <si>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</si>
  <si>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</si>
  <si>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</si>
  <si>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</si>
  <si>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</si>
  <si>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</si>
  <si>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</si>
  <si>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</si>
  <si>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</si>
  <si>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</si>
  <si>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</si>
  <si>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</si>
  <si>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</si>
  <si>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</si>
  <si>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</si>
  <si>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</si>
  <si>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</si>
  <si>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</si>
  <si>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</si>
  <si>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</si>
  <si>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</si>
  <si>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</si>
  <si>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</si>
  <si>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</si>
  <si>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</si>
  <si>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</si>
  <si>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</si>
  <si>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</si>
  <si>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</si>
  <si>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</si>
  <si>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</si>
  <si>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</si>
  <si>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</si>
  <si>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</si>
  <si>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</si>
  <si>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</si>
  <si>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</si>
  <si>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</si>
  <si>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</si>
  <si>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</si>
  <si>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</si>
  <si>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</si>
  <si>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</si>
  <si>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</si>
  <si>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</si>
  <si>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</si>
  <si>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</si>
  <si>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</si>
  <si>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</si>
  <si>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</si>
  <si>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</si>
  <si>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</si>
  <si>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</si>
  <si>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</si>
  <si>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</si>
  <si>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</si>
  <si>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</si>
  <si>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</si>
  <si>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</si>
  <si>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</si>
  <si>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</si>
  <si>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</si>
  <si>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</si>
  <si>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</si>
  <si>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</si>
  <si>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</si>
  <si>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</si>
  <si>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</si>
  <si>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</si>
  <si>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</si>
  <si>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</si>
  <si>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</si>
  <si>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</si>
  <si>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</si>
  <si>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</si>
  <si>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</si>
  <si>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</si>
  <si>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</si>
  <si>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</si>
  <si>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</si>
  <si>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</si>
  <si>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</si>
  <si>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</si>
  <si>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</si>
  <si>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</si>
  <si>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</si>
  <si>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</si>
  <si>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</si>
  <si>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</si>
  <si>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</si>
  <si>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</si>
  <si>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</si>
  <si>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</si>
  <si>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</si>
  <si>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</si>
  <si>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</si>
  <si>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</si>
  <si>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</si>
  <si>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</si>
  <si>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</si>
  <si>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</si>
  <si>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</si>
  <si>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</si>
  <si>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</si>
  <si>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</si>
  <si>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</si>
  <si>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</si>
  <si>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</si>
  <si>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</si>
  <si>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</si>
  <si>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</si>
  <si>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</si>
  <si>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</si>
  <si>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</si>
  <si>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</si>
  <si>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</si>
  <si>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</si>
  <si>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</si>
  <si>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</si>
  <si>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</si>
  <si>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</si>
  <si>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</si>
  <si>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</si>
  <si>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</si>
  <si>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</si>
  <si>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</si>
  <si>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</si>
  <si>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</si>
  <si>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</si>
  <si>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</si>
  <si>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</si>
  <si>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</si>
  <si>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</si>
  <si>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</si>
  <si>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</si>
  <si>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</si>
  <si>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</si>
  <si>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</si>
  <si>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</si>
  <si>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</si>
  <si>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</si>
  <si>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</si>
  <si>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</si>
  <si>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</si>
  <si>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</si>
  <si>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</si>
  <si>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</si>
  <si>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</si>
  <si>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</si>
  <si>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</si>
  <si>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</si>
  <si>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</si>
  <si>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</si>
  <si>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</si>
  <si>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</si>
  <si>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</si>
  <si>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</si>
  <si>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</si>
  <si>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</si>
  <si>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</si>
  <si>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</si>
  <si>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</si>
  <si>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</si>
  <si>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</si>
  <si>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</si>
  <si>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</si>
  <si>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</si>
  <si>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</si>
  <si>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</si>
  <si>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</si>
  <si>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</si>
  <si>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</si>
  <si>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</si>
  <si>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</si>
  <si>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</si>
  <si>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</si>
  <si>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</si>
  <si>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</si>
  <si>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</si>
  <si>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</si>
  <si>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</si>
  <si>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</si>
  <si>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</si>
  <si>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</si>
  <si>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</si>
  <si>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</si>
  <si>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</si>
  <si>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</si>
  <si>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</si>
  <si>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</si>
  <si>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</si>
  <si>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</si>
  <si>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</si>
  <si>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</si>
  <si>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</si>
  <si>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</si>
  <si>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</si>
  <si>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</si>
  <si>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</si>
  <si>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</si>
  <si>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</si>
  <si>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</si>
  <si>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</si>
  <si>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</si>
  <si>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</si>
  <si>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</si>
  <si>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</si>
  <si>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</si>
  <si>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</si>
  <si>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</si>
  <si>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</si>
  <si>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</si>
  <si>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</si>
  <si>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</si>
  <si>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</si>
  <si>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</si>
  <si>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</si>
  <si>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</si>
  <si>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</si>
  <si>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</si>
  <si>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</si>
  <si>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</si>
  <si>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</si>
  <si>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</si>
  <si>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</si>
  <si>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</si>
  <si>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</si>
  <si>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</si>
  <si>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</si>
  <si>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</si>
  <si>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</si>
  <si>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</si>
  <si>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</si>
  <si>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</si>
  <si>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</si>
  <si>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</si>
  <si>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</si>
  <si>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</si>
  <si>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</si>
  <si>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</si>
  <si>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</si>
  <si>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</si>
  <si>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</si>
  <si>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</si>
  <si>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</si>
  <si>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</si>
  <si>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</si>
  <si>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</si>
  <si>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</si>
  <si>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</si>
  <si>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</si>
  <si>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</si>
  <si>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</si>
  <si>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</si>
  <si>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</si>
  <si>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</si>
  <si>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</si>
  <si>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</si>
  <si>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</si>
  <si>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</si>
  <si>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</si>
  <si>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</si>
  <si>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</si>
  <si>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</si>
  <si>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</si>
  <si>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</si>
  <si>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</si>
  <si>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</si>
  <si>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</si>
  <si>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</si>
  <si>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</si>
  <si>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</si>
  <si>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</si>
  <si>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</si>
  <si>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</si>
  <si>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</si>
  <si>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</si>
  <si>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</si>
  <si>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</si>
  <si>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</si>
  <si>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</si>
  <si>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</si>
  <si>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</si>
  <si>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</si>
  <si>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</si>
  <si>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</si>
  <si>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</si>
  <si>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</si>
  <si>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</si>
  <si>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</si>
  <si>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</si>
  <si>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</si>
  <si>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</si>
  <si>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</si>
  <si>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</si>
  <si>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</si>
  <si>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</si>
  <si>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</si>
  <si>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</si>
  <si>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</si>
  <si>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</si>
  <si>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</si>
  <si>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</si>
  <si>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</si>
  <si>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</si>
  <si>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</si>
  <si>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</si>
  <si>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</si>
  <si>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</si>
  <si>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</si>
  <si>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</si>
  <si>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</si>
  <si>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</si>
  <si>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</si>
  <si>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</si>
  <si>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</si>
  <si>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</si>
  <si>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</si>
  <si>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</si>
  <si>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</si>
  <si>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</si>
  <si>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</si>
  <si>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</si>
  <si>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</si>
  <si>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</si>
  <si>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</si>
  <si>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</si>
  <si>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</si>
  <si>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</si>
  <si>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</si>
  <si>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</si>
  <si>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</si>
  <si>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</si>
  <si>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</si>
  <si>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</si>
  <si>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</si>
  <si>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</si>
  <si>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</si>
  <si>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</si>
  <si>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</si>
  <si>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</si>
  <si>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</si>
  <si>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</si>
  <si>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</si>
  <si>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</si>
  <si>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</si>
  <si>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</si>
  <si>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</si>
  <si>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</si>
  <si>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</si>
  <si>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</si>
  <si>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</si>
  <si>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</si>
  <si>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</si>
  <si>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</si>
  <si>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</si>
  <si>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</si>
  <si>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</si>
  <si>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</si>
  <si>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</si>
  <si>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</si>
  <si>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</si>
  <si>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</si>
  <si>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</si>
  <si>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</si>
  <si>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</si>
  <si>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</si>
  <si>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</si>
  <si>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</si>
  <si>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</si>
  <si>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</si>
  <si>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</si>
  <si>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</si>
  <si>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</si>
  <si>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</si>
  <si>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</si>
  <si>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</si>
  <si>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</si>
  <si>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</si>
  <si>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</si>
  <si>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</si>
  <si>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</si>
  <si>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</si>
  <si>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</si>
  <si>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</si>
  <si>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</si>
  <si>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</si>
  <si>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</si>
  <si>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</si>
  <si>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</si>
  <si>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</si>
  <si>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</si>
  <si>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</si>
  <si>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</si>
  <si>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</si>
  <si>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</si>
  <si>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</si>
  <si>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</si>
  <si>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</si>
  <si>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</si>
  <si>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</si>
  <si>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</si>
  <si>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</si>
  <si>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</si>
  <si>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</si>
  <si>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</si>
  <si>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</si>
  <si>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</si>
  <si>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</si>
  <si>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</si>
  <si>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</si>
  <si>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</si>
  <si>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</si>
  <si>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</si>
  <si>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</si>
  <si>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</si>
  <si>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</si>
  <si>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</si>
  <si>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</si>
  <si>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</si>
  <si>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</si>
  <si>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</si>
  <si>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</si>
  <si>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</si>
  <si>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</si>
  <si>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</si>
  <si>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</si>
  <si>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</si>
  <si>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</si>
  <si>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</si>
  <si>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</si>
  <si>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</si>
  <si>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</si>
  <si>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</si>
  <si>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</si>
  <si>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</si>
  <si>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</si>
  <si>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</si>
  <si>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</si>
  <si>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</si>
  <si>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</si>
  <si>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</si>
  <si>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</si>
  <si>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</si>
  <si>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</si>
  <si>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</si>
  <si>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</si>
  <si>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</si>
  <si>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</si>
  <si>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</si>
  <si>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</si>
  <si>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</si>
  <si>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</si>
  <si>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</si>
  <si>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</si>
  <si>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</si>
  <si>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</si>
  <si>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</si>
  <si>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</si>
  <si>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</si>
  <si>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</si>
  <si>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</si>
  <si>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</si>
  <si>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</si>
  <si>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</si>
  <si>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</si>
  <si>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</si>
  <si>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</si>
  <si>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</si>
  <si>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</si>
  <si>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</si>
  <si>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</si>
  <si>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</si>
  <si>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</si>
  <si>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</si>
  <si>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</si>
  <si>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</si>
  <si>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</si>
  <si>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</si>
  <si>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</si>
  <si>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</si>
  <si>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</si>
  <si>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</si>
  <si>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</si>
  <si>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</si>
  <si>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</si>
  <si>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</si>
  <si>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</si>
  <si>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</si>
  <si>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</si>
  <si>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</si>
  <si>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</si>
  <si>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</si>
  <si>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</si>
  <si>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</si>
  <si>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</si>
  <si>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</si>
  <si>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</si>
  <si>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</si>
  <si>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</si>
  <si>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</si>
  <si>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</si>
  <si>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</si>
  <si>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</si>
  <si>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</si>
  <si>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</si>
  <si>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</si>
  <si>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</si>
  <si>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</si>
  <si>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</si>
  <si>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</si>
  <si>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</si>
  <si>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</si>
  <si>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</si>
  <si>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</si>
  <si>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</si>
  <si>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</si>
  <si>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</si>
  <si>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</si>
  <si>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</si>
  <si>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</si>
  <si>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</si>
  <si>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</si>
  <si>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</si>
  <si>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</si>
  <si>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</si>
  <si>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</si>
  <si>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</si>
  <si>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</si>
  <si>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</si>
  <si>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</si>
  <si>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</si>
  <si>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</si>
  <si>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</si>
  <si>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</si>
  <si>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</si>
  <si>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</si>
  <si>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</si>
  <si>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</si>
  <si>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</si>
  <si>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</si>
  <si>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</si>
  <si>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</si>
  <si>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</si>
  <si>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</si>
  <si>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</si>
  <si>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</si>
  <si>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</si>
  <si>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</si>
  <si>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</si>
  <si>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</si>
  <si>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</si>
  <si>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</si>
  <si>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</si>
  <si>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</si>
  <si>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</si>
  <si>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</si>
  <si>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</si>
  <si>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</si>
  <si>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</si>
  <si>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</si>
  <si>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</si>
  <si>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</si>
  <si>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</si>
  <si>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</si>
  <si>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</si>
  <si>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</si>
  <si>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</si>
  <si>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</si>
  <si>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</si>
  <si>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</si>
  <si>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</si>
  <si>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</si>
  <si>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</si>
  <si>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</si>
  <si>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</si>
  <si>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</si>
  <si>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</si>
  <si>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</si>
  <si>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</si>
  <si>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</si>
  <si>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</si>
  <si>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</si>
  <si>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</si>
  <si>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</si>
  <si>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</si>
  <si>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</si>
  <si>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</si>
  <si>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</si>
  <si>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</si>
  <si>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</si>
  <si>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</si>
  <si>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</si>
  <si>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</si>
  <si>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</si>
  <si>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</si>
  <si>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</si>
  <si>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</si>
  <si>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</si>
  <si>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</si>
  <si>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</si>
  <si>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</si>
  <si>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</si>
  <si>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</si>
  <si>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</si>
  <si>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</si>
  <si>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</si>
  <si>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</si>
  <si>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</si>
  <si>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</si>
  <si>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</si>
  <si>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</si>
  <si>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</si>
  <si>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</si>
  <si>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</si>
  <si>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</si>
  <si>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</si>
  <si>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</si>
  <si>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</si>
  <si>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</si>
  <si>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</si>
  <si>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</si>
  <si>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</si>
  <si>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</si>
  <si>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</si>
  <si>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</si>
  <si>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</si>
  <si>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</si>
  <si>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</si>
  <si>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</si>
  <si>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</si>
  <si>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</si>
  <si>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</si>
  <si>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</si>
  <si>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</si>
  <si>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</si>
  <si>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</si>
  <si>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</si>
  <si>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</si>
  <si>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</si>
  <si>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</si>
  <si>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</si>
  <si>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</si>
  <si>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</si>
  <si>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</si>
  <si>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</si>
  <si>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</si>
  <si>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</si>
  <si>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</si>
  <si>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</si>
  <si>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</si>
  <si>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</si>
  <si>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</si>
  <si>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</si>
  <si>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</si>
  <si>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</si>
  <si>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</si>
  <si>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</si>
  <si>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</si>
  <si>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</si>
  <si>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</si>
  <si>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</si>
  <si>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</si>
  <si>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</si>
  <si>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</si>
  <si>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</si>
  <si>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</si>
  <si>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</si>
  <si>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</si>
  <si>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</si>
  <si>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</si>
  <si>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</si>
  <si>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</si>
  <si>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</si>
  <si>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</si>
  <si>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</si>
  <si>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</si>
  <si>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</si>
  <si>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</si>
  <si>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</si>
  <si>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</si>
  <si>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</si>
  <si>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</si>
  <si>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</si>
  <si>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</si>
  <si>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</si>
  <si>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</si>
  <si>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</si>
  <si>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</si>
  <si>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</si>
  <si>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</si>
  <si>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</si>
  <si>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</si>
  <si>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</si>
  <si>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</si>
  <si>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</si>
  <si>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</si>
  <si>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</si>
  <si>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</si>
  <si>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</si>
  <si>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</si>
  <si>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</si>
  <si>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</si>
  <si>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</si>
  <si>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</si>
  <si>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</si>
  <si>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</si>
  <si>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</si>
  <si>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</si>
  <si>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</si>
  <si>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</si>
  <si>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</si>
  <si>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</si>
  <si>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</si>
  <si>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</si>
  <si>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</si>
  <si>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</si>
  <si>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</si>
  <si>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</si>
  <si>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</si>
  <si>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</si>
  <si>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</si>
  <si>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</si>
  <si>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</si>
  <si>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</si>
  <si>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</si>
  <si>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</si>
  <si>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</si>
  <si>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</si>
  <si>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</si>
  <si>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</si>
  <si>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</si>
  <si>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</si>
  <si>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</si>
  <si>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</si>
  <si>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</si>
  <si>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</si>
  <si>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</si>
  <si>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</si>
  <si>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</si>
  <si>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</si>
  <si>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</si>
  <si>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</si>
  <si>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</si>
  <si>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</si>
  <si>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</si>
  <si>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</si>
  <si>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</si>
  <si>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</si>
  <si>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</si>
  <si>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</si>
  <si>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</si>
  <si>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</si>
  <si>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</si>
  <si>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</si>
  <si>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</si>
  <si>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</si>
  <si>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</si>
  <si>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</si>
  <si>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</si>
  <si>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</si>
  <si>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</si>
  <si>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</si>
  <si>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</si>
  <si>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</si>
  <si>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</si>
  <si>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</si>
  <si>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</si>
  <si>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</si>
  <si>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</si>
  <si>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</si>
  <si>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</si>
  <si>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</si>
  <si>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</si>
  <si>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</si>
  <si>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</si>
  <si>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</si>
  <si>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</si>
  <si>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</si>
  <si>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</si>
  <si>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</si>
  <si>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</si>
  <si>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</si>
  <si>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</si>
  <si>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</si>
  <si>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</si>
  <si>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</si>
  <si>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</si>
  <si>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</si>
  <si>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</si>
  <si>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</si>
  <si>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</si>
  <si>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</si>
  <si>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</si>
  <si>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</si>
  <si>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</si>
  <si>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</si>
  <si>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</si>
  <si>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</si>
  <si>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</si>
  <si>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</si>
  <si>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</si>
  <si>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</si>
  <si>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</si>
  <si>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</si>
  <si>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</si>
  <si>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</si>
  <si>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</si>
  <si>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</si>
  <si>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</si>
  <si>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</si>
  <si>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</si>
  <si>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</si>
  <si>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</si>
  <si>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</si>
  <si>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</si>
  <si>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</si>
  <si>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</si>
  <si>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</si>
  <si>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</si>
  <si>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</si>
  <si>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</si>
  <si>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</si>
  <si>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</si>
  <si>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</si>
  <si>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</si>
  <si>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</si>
  <si>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</si>
  <si>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</si>
  <si>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</si>
  <si>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</si>
  <si>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</si>
  <si>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</si>
  <si>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</si>
  <si>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</si>
  <si>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</si>
  <si>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</si>
  <si>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</si>
  <si>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</si>
  <si>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</si>
  <si>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</si>
  <si>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</si>
  <si>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</si>
  <si>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</si>
  <si>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</si>
  <si>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</si>
  <si>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</si>
  <si>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</si>
  <si>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</si>
  <si>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</si>
  <si>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</si>
  <si>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</si>
  <si>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</si>
  <si>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</si>
  <si>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</si>
  <si>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</si>
  <si>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</si>
  <si>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</si>
  <si>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</si>
  <si>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</si>
  <si>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</si>
  <si>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</si>
  <si>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</si>
  <si>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</si>
  <si>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</si>
  <si>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</si>
  <si>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</si>
  <si>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</si>
  <si>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</si>
  <si>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</si>
  <si>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</si>
  <si>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</si>
  <si>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</si>
  <si>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</si>
  <si>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</si>
  <si>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</si>
  <si>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</si>
  <si>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</si>
  <si>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</si>
  <si>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</si>
  <si>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</si>
  <si>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</si>
  <si>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</si>
  <si>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</si>
  <si>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</si>
  <si>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</si>
  <si>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</si>
  <si>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</si>
  <si>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</si>
  <si>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</si>
  <si>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</si>
  <si>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</si>
  <si>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</si>
  <si>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</si>
  <si>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</si>
  <si>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</si>
  <si>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</si>
  <si>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</si>
  <si>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</si>
  <si>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</si>
  <si>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</si>
  <si>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</si>
  <si>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</si>
  <si>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</si>
  <si>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</si>
  <si>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</si>
  <si>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</si>
  <si>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</si>
  <si>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</si>
  <si>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</si>
  <si>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</si>
  <si>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</si>
  <si>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</si>
  <si>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</si>
  <si>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</si>
  <si>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</si>
  <si>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</si>
  <si>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</si>
  <si>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</si>
  <si>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</si>
  <si>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</si>
  <si>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</si>
  <si>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</si>
  <si>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</si>
  <si>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</si>
  <si>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</si>
  <si>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</si>
  <si>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</si>
  <si>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</si>
  <si>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</si>
  <si>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</si>
  <si>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</si>
  <si>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</si>
  <si>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</si>
  <si>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</si>
  <si>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</si>
  <si>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</si>
  <si>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</si>
  <si>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</si>
  <si>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</si>
  <si>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</si>
  <si>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</si>
  <si>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</si>
  <si>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</si>
  <si>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</si>
  <si>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</si>
  <si>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</si>
  <si>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</si>
  <si>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</si>
  <si>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</si>
  <si>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</si>
  <si>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</si>
  <si>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</si>
  <si>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</si>
  <si>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</si>
  <si>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</si>
  <si>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</si>
  <si>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</si>
  <si>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</si>
  <si>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</si>
  <si>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</si>
  <si>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</si>
  <si>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</si>
  <si>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</si>
  <si>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</si>
  <si>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</si>
  <si>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</si>
  <si>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</si>
  <si>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</si>
  <si>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</si>
  <si>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</si>
  <si>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</si>
  <si>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</si>
  <si>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</si>
  <si>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</si>
  <si>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</si>
  <si>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</si>
  <si>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</si>
  <si>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</si>
  <si>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</si>
  <si>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</si>
  <si>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</si>
  <si>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</si>
  <si>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</si>
  <si>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</si>
  <si>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</si>
  <si>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</si>
  <si>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</si>
  <si>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</si>
  <si>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</si>
  <si>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</si>
  <si>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</si>
  <si>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</si>
  <si>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</si>
  <si>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</si>
  <si>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</si>
  <si>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</si>
  <si>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</si>
  <si>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</si>
  <si>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</si>
  <si>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</si>
  <si>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</si>
  <si>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</si>
  <si>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</si>
  <si>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</si>
  <si>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</si>
  <si>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</si>
  <si>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</si>
  <si>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</si>
  <si>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</si>
  <si>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</si>
  <si>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</si>
  <si>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</si>
  <si>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</si>
  <si>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</si>
  <si>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</si>
  <si>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</si>
  <si>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</si>
  <si>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</si>
  <si>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</si>
  <si>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</si>
  <si>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</si>
  <si>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</si>
  <si>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</si>
  <si>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</si>
  <si>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</si>
  <si>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</si>
  <si>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</si>
  <si>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</si>
  <si>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</si>
  <si>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</si>
  <si>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</si>
  <si>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</si>
  <si>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</si>
  <si>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</si>
  <si>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</si>
  <si>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</si>
  <si>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</si>
  <si>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</si>
  <si>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</si>
  <si>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</si>
  <si>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</si>
  <si>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</si>
  <si>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</si>
  <si>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</si>
  <si>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</si>
  <si>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</si>
  <si>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</si>
  <si>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</si>
  <si>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</si>
  <si>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</si>
  <si>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</si>
  <si>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</si>
  <si>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</si>
  <si>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</si>
  <si>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</si>
  <si>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</si>
  <si>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</si>
  <si>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</si>
  <si>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</si>
  <si>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</si>
  <si>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</si>
  <si>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</si>
  <si>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</si>
  <si>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</si>
  <si>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</si>
  <si>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</si>
  <si>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</si>
  <si>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</si>
  <si>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</si>
  <si>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</si>
  <si>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</si>
  <si>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</si>
  <si>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</si>
  <si>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</si>
  <si>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</si>
  <si>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</si>
  <si>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</si>
  <si>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</si>
  <si>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</si>
  <si>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</si>
  <si>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</si>
  <si>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</si>
  <si>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</si>
  <si>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</si>
  <si>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</si>
  <si>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</si>
  <si>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</si>
  <si>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</si>
  <si>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</si>
  <si>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</si>
  <si>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</si>
  <si>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</si>
  <si>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</si>
  <si>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</si>
  <si>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</si>
  <si>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</si>
  <si>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</si>
  <si>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</si>
  <si>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</si>
  <si>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</si>
  <si>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</si>
  <si>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</si>
  <si>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</si>
  <si>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</si>
  <si>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</si>
  <si>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</si>
  <si>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</si>
  <si>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</si>
  <si>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</si>
  <si>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</si>
  <si>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</si>
  <si>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</si>
  <si>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</si>
  <si>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</si>
  <si>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</si>
  <si>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</si>
  <si>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</si>
  <si>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</si>
  <si>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</si>
  <si>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</si>
  <si>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</si>
  <si>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</si>
  <si>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</si>
  <si>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</si>
  <si>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</si>
  <si>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</si>
  <si>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</si>
  <si>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</si>
  <si>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</si>
  <si>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</si>
  <si>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</si>
  <si>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</si>
  <si>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</si>
  <si>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</si>
  <si>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</si>
  <si>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</si>
  <si>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</si>
  <si>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</si>
  <si>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</si>
  <si>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</si>
  <si>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</si>
  <si>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</si>
  <si>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</si>
  <si>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</si>
  <si>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</si>
  <si>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</si>
  <si>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</si>
  <si>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</si>
  <si>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</si>
  <si>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</si>
  <si>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</si>
  <si>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</si>
  <si>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</si>
  <si>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</si>
  <si>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</si>
  <si>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</si>
  <si>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</si>
  <si>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</si>
  <si>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</si>
  <si>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</si>
  <si>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</si>
  <si>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</si>
  <si>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</si>
  <si>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</si>
  <si>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</si>
  <si>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</si>
  <si>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</si>
  <si>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</si>
  <si>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</si>
  <si>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</si>
  <si>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</si>
  <si>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</si>
  <si>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</si>
  <si>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</si>
  <si>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</si>
  <si>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</si>
  <si>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</si>
  <si>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</si>
  <si>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</si>
  <si>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</si>
  <si>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</si>
  <si>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</si>
  <si>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</si>
  <si>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</si>
  <si>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</si>
  <si>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</si>
  <si>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</si>
  <si>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</si>
  <si>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</si>
  <si>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</si>
  <si>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</si>
  <si>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</si>
  <si>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</si>
  <si>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</si>
  <si>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</si>
  <si>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</si>
  <si>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</si>
  <si>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</si>
  <si>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</si>
  <si>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</si>
  <si>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</si>
  <si>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</si>
  <si>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</si>
  <si>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</si>
  <si>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</si>
  <si>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</si>
  <si>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</si>
  <si>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</si>
  <si>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</si>
  <si>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</si>
  <si>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</si>
  <si>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</si>
  <si>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</si>
  <si>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</si>
  <si>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</si>
  <si>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</si>
  <si>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</si>
  <si>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</si>
  <si>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</si>
  <si>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</si>
  <si>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</si>
  <si>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</si>
  <si>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</si>
  <si>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</si>
  <si>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</si>
  <si>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</si>
  <si>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</si>
  <si>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</si>
  <si>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</si>
  <si>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</si>
  <si>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</si>
  <si>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</si>
  <si>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</si>
  <si>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</si>
  <si>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</si>
  <si>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</si>
  <si>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</si>
  <si>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</si>
  <si>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</si>
  <si>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</si>
  <si>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</si>
  <si>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</si>
  <si>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</si>
  <si>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</si>
  <si>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</si>
  <si>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</si>
  <si>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</si>
  <si>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</si>
  <si>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</si>
  <si>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</si>
  <si>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</si>
  <si>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</si>
  <si>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</si>
  <si>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</si>
  <si>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</si>
  <si>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</si>
  <si>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</si>
  <si>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</si>
  <si>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</si>
  <si>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</si>
  <si>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</si>
  <si>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</si>
  <si>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</si>
  <si>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</si>
  <si>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</si>
  <si>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</si>
  <si>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</si>
  <si>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</si>
  <si>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</si>
  <si>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</si>
  <si>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</si>
  <si>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</si>
  <si>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</si>
  <si>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</si>
  <si>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</si>
  <si>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</si>
  <si>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</si>
  <si>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</si>
  <si>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</si>
  <si>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</si>
  <si>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</si>
  <si>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</si>
  <si>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</si>
  <si>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</si>
  <si>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</si>
  <si>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</si>
  <si>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</si>
  <si>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</si>
  <si>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</si>
  <si>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</si>
  <si>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</si>
  <si>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</si>
  <si>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</si>
  <si>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</si>
  <si>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</si>
  <si>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</si>
  <si>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</si>
  <si>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</si>
  <si>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</si>
  <si>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</si>
  <si>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</si>
  <si>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</si>
  <si>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</si>
  <si>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</si>
  <si>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</si>
  <si>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</si>
  <si>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</si>
  <si>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</si>
  <si>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</si>
  <si>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</si>
  <si>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</si>
  <si>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</si>
  <si>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</si>
  <si>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</si>
  <si>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</si>
  <si>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</si>
  <si>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</si>
  <si>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</si>
  <si>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</si>
  <si>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</si>
  <si>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</si>
  <si>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</si>
  <si>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</si>
  <si>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</si>
  <si>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</si>
  <si>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</si>
  <si>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</si>
  <si>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</si>
  <si>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</si>
  <si>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</si>
  <si>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</si>
  <si>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</si>
  <si>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</si>
  <si>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</si>
  <si>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</si>
  <si>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</si>
  <si>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</si>
  <si>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</si>
  <si>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</si>
  <si>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</si>
  <si>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</si>
  <si>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</si>
  <si>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</si>
  <si>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</si>
  <si>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</si>
  <si>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</si>
  <si>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</si>
  <si>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</si>
  <si>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</si>
  <si>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</si>
  <si>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</si>
  <si>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</si>
  <si>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</si>
  <si>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</si>
  <si>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</si>
  <si>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</si>
  <si>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</si>
  <si>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</si>
  <si>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</si>
  <si>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</si>
  <si>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</si>
  <si>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</si>
  <si>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</si>
  <si>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</si>
  <si>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</si>
  <si>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</si>
  <si>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</si>
  <si>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</si>
  <si>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</si>
  <si>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</si>
  <si>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</si>
  <si>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</si>
  <si>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</si>
  <si>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</si>
  <si>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</si>
  <si>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</si>
  <si>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</si>
  <si>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</si>
  <si>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</si>
  <si>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</si>
  <si>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</si>
  <si>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</si>
  <si>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</si>
  <si>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</si>
  <si>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</si>
  <si>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</si>
  <si>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</si>
  <si>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</si>
  <si>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</si>
  <si>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</si>
  <si>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</si>
  <si>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</si>
  <si>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</si>
  <si>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</si>
  <si>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</si>
  <si>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</si>
  <si>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</si>
  <si>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</si>
  <si>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</si>
  <si>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</si>
  <si>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</si>
  <si>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</si>
  <si>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</si>
  <si>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</si>
  <si>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</si>
  <si>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</si>
  <si>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</si>
  <si>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</si>
  <si>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</si>
  <si>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</si>
  <si>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</si>
  <si>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</si>
  <si>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</si>
  <si>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</si>
  <si>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</si>
  <si>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</si>
  <si>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</si>
  <si>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</si>
  <si>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</si>
  <si>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</si>
  <si>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</si>
  <si>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</si>
  <si>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</si>
  <si>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</si>
  <si>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</si>
  <si>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</si>
  <si>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</si>
  <si>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</si>
  <si>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</si>
  <si>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</si>
  <si>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</si>
  <si>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</si>
  <si>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</si>
  <si>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</si>
  <si>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</si>
  <si>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</si>
  <si>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</si>
  <si>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</si>
  <si>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</si>
  <si>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</si>
  <si>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</si>
  <si>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</si>
  <si>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</si>
  <si>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</si>
  <si>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</si>
  <si>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</si>
  <si>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</si>
  <si>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</si>
  <si>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</si>
  <si>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</si>
  <si>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</si>
  <si>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</si>
  <si>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</si>
  <si>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</si>
  <si>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</si>
  <si>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</si>
  <si>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</si>
  <si>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</si>
  <si>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</si>
  <si>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</si>
  <si>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</si>
  <si>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</si>
  <si>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</si>
  <si>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</si>
  <si>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</si>
  <si>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</si>
  <si>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</si>
  <si>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</si>
  <si>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</si>
  <si>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</si>
  <si>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</si>
  <si>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</si>
  <si>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</si>
  <si>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</si>
  <si>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</si>
  <si>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</si>
  <si>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</si>
  <si>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</si>
  <si>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</si>
  <si>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</si>
  <si>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</si>
  <si>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</si>
  <si>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</si>
  <si>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</si>
  <si>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</si>
  <si>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</si>
  <si>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</si>
  <si>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</si>
  <si>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</si>
  <si>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</si>
  <si>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</si>
  <si>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</si>
  <si>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</si>
  <si>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</si>
  <si>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</si>
  <si>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</si>
  <si>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</si>
  <si>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</si>
  <si>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</si>
  <si>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</si>
  <si>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</si>
  <si>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</si>
  <si>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</si>
  <si>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</si>
  <si>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</si>
  <si>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</si>
  <si>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</si>
  <si>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</si>
  <si>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</si>
  <si>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</si>
  <si>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</si>
  <si>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</si>
  <si>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</si>
  <si>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</si>
  <si>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</si>
  <si>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</si>
  <si>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</si>
  <si>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</si>
  <si>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</si>
  <si>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</si>
  <si>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</si>
  <si>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</si>
  <si>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</si>
  <si>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</si>
  <si>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</si>
  <si>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</si>
  <si>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</si>
  <si>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</si>
  <si>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</si>
  <si>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</si>
  <si>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</si>
  <si>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</si>
  <si>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</si>
  <si>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</si>
  <si>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</si>
  <si>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</si>
  <si>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</si>
  <si>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</si>
  <si>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</si>
  <si>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</si>
  <si>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</si>
  <si>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</si>
  <si>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</si>
  <si>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</si>
  <si>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</si>
  <si>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</si>
  <si>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</si>
  <si>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</si>
  <si>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</si>
  <si>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</si>
  <si>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</si>
  <si>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</si>
  <si>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</si>
  <si>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</si>
  <si>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</si>
  <si>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</si>
  <si>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</si>
  <si>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</si>
  <si>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</si>
  <si>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</si>
  <si>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</si>
  <si>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</si>
  <si>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</si>
  <si>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</si>
  <si>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</si>
  <si>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</si>
  <si>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</si>
  <si>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</si>
  <si>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</si>
  <si>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</si>
  <si>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</si>
  <si>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</si>
  <si>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</si>
  <si>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</si>
  <si>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</si>
  <si>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</si>
  <si>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</si>
  <si>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</si>
  <si>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</si>
  <si>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</si>
  <si>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</si>
  <si>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</si>
  <si>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</si>
  <si>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</si>
  <si>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</si>
  <si>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</si>
  <si>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</si>
  <si>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</si>
  <si>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</si>
  <si>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</si>
  <si>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</si>
  <si>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</si>
  <si>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</si>
  <si>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</si>
  <si>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</si>
  <si>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</si>
  <si>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</si>
  <si>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</si>
  <si>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</si>
  <si>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</si>
  <si>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</si>
  <si>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</si>
  <si>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</si>
  <si>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</si>
  <si>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</si>
  <si>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</si>
  <si>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</si>
  <si>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</si>
  <si>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</si>
  <si>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</si>
  <si>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</si>
  <si>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</si>
  <si>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</si>
  <si>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</si>
  <si>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</si>
  <si>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</si>
  <si>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</si>
  <si>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</si>
  <si>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</si>
  <si>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</si>
  <si>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</si>
  <si>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</si>
  <si>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</si>
  <si>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</si>
  <si>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</si>
  <si>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</si>
  <si>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</si>
  <si>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</si>
  <si>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</si>
  <si>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</si>
  <si>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</si>
  <si>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</si>
  <si>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</si>
  <si>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</si>
  <si>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</si>
  <si>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</si>
  <si>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</si>
  <si>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</si>
  <si>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</si>
  <si>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</si>
  <si>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</si>
  <si>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</si>
  <si>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</si>
  <si>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</si>
  <si>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</si>
  <si>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</si>
  <si>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</si>
  <si>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</si>
  <si>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</si>
  <si>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</si>
  <si>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</si>
  <si>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</si>
  <si>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</si>
  <si>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</si>
  <si>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</si>
  <si>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</si>
  <si>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</si>
  <si>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</si>
  <si>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</si>
  <si>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</si>
  <si>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</si>
  <si>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</si>
  <si>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</si>
  <si>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</si>
  <si>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</si>
  <si>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</si>
  <si>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</si>
  <si>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</si>
  <si>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</si>
  <si>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</si>
  <si>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</si>
  <si>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</si>
  <si>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</si>
  <si>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</si>
  <si>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</si>
  <si>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</si>
  <si>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</si>
  <si>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</si>
  <si>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</si>
  <si>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</si>
  <si>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</si>
  <si>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</si>
  <si>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</si>
  <si>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</si>
  <si>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</si>
  <si>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</si>
  <si>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</si>
  <si>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</si>
  <si>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</si>
  <si>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</si>
  <si>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</si>
  <si>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</si>
  <si>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</si>
  <si>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</si>
  <si>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</si>
  <si>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</si>
  <si>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</si>
  <si>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</si>
  <si>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</si>
  <si>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</si>
  <si>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</si>
  <si>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</si>
  <si>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</si>
  <si>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</si>
  <si>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</si>
  <si>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</si>
  <si>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</si>
  <si>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</si>
  <si>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</si>
  <si>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</si>
  <si>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</si>
  <si>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</si>
  <si>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</si>
  <si>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</si>
  <si>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</si>
  <si>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</si>
  <si>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</si>
  <si>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</si>
  <si>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</si>
  <si>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</si>
  <si>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</si>
  <si>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</si>
  <si>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</si>
  <si>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</si>
  <si>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</si>
  <si>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</si>
  <si>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</si>
  <si>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</si>
  <si>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</si>
  <si>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</si>
  <si>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</si>
  <si>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</si>
  <si>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</si>
  <si>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</si>
  <si>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</si>
  <si>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</si>
  <si>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</si>
  <si>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</si>
  <si>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</si>
  <si>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</si>
  <si>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</si>
  <si>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</si>
  <si>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</si>
  <si>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</si>
  <si>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</si>
  <si>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</si>
  <si>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</si>
  <si>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</si>
  <si>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</si>
  <si>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</si>
  <si>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</si>
  <si>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</si>
  <si>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</si>
  <si>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</si>
  <si>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</si>
  <si>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</si>
  <si>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</si>
  <si>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</si>
  <si>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</si>
  <si>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</si>
  <si>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</si>
  <si>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</si>
  <si>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</si>
  <si>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</si>
  <si>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</si>
  <si>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</si>
  <si>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</si>
  <si>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</si>
  <si>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</si>
  <si>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</si>
  <si>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</si>
  <si>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</si>
  <si>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</si>
  <si>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</si>
  <si>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</si>
  <si>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</si>
  <si>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</si>
  <si>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</si>
  <si>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</si>
  <si>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</si>
  <si>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</si>
  <si>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</si>
  <si>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</si>
  <si>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</si>
  <si>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</si>
  <si>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</si>
  <si>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</si>
  <si>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</si>
  <si>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</si>
  <si>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</si>
  <si>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</si>
  <si>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</si>
  <si>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</si>
  <si>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</si>
  <si>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</si>
  <si>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</si>
  <si>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</si>
  <si>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</si>
  <si>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</si>
  <si>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</si>
  <si>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</si>
  <si>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</si>
  <si>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</si>
  <si>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</si>
  <si>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</si>
  <si>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</si>
  <si>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</si>
  <si>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</si>
  <si>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</si>
  <si>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</si>
  <si>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</si>
  <si>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</si>
  <si>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</si>
  <si>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</si>
  <si>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</si>
  <si>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</si>
  <si>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</si>
  <si>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</si>
  <si>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</si>
  <si>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</si>
  <si>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</si>
  <si>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</si>
  <si>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</si>
  <si>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</si>
  <si>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</si>
  <si>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</si>
  <si>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</si>
  <si>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</si>
  <si>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</si>
  <si>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</si>
  <si>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</si>
  <si>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</si>
  <si>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</si>
  <si>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</si>
  <si>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</si>
  <si>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</si>
  <si>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</si>
  <si>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</si>
  <si>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</si>
  <si>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</si>
  <si>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</si>
  <si>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</si>
  <si>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</si>
  <si>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</si>
  <si>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</si>
  <si>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</si>
  <si>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</si>
  <si>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</si>
  <si>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</si>
  <si>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</si>
  <si>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</si>
  <si>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</si>
  <si>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</si>
  <si>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</si>
  <si>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</si>
  <si>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</si>
  <si>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</si>
  <si>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</si>
  <si>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</si>
  <si>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</si>
  <si>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</si>
  <si>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</si>
  <si>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</si>
  <si>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</si>
  <si>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</si>
  <si>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</si>
  <si>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</si>
  <si>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</si>
  <si>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</si>
  <si>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</si>
  <si>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</si>
  <si>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</si>
  <si>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</si>
  <si>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</si>
  <si>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</si>
  <si>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</si>
  <si>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</si>
  <si>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</si>
  <si>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</si>
  <si>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</si>
  <si>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</si>
  <si>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</si>
  <si>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</si>
  <si>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</si>
  <si>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</si>
  <si>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</si>
  <si>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</si>
  <si>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</si>
  <si>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</si>
  <si>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</si>
  <si>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</si>
  <si>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</si>
  <si>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</si>
  <si>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</si>
  <si>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</si>
  <si>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</si>
  <si>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</si>
  <si>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</si>
  <si>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</si>
  <si>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</si>
  <si>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</si>
  <si>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</si>
  <si>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</si>
  <si>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</si>
  <si>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</si>
  <si>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</si>
  <si>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</si>
  <si>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</si>
  <si>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</si>
  <si>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</si>
  <si>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</si>
  <si>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</si>
  <si>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</si>
  <si>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</si>
  <si>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</si>
  <si>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</si>
  <si>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</si>
  <si>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</si>
  <si>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</si>
  <si>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</si>
  <si>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</si>
  <si>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</si>
  <si>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</si>
  <si>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</si>
  <si>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</si>
  <si>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</si>
  <si>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</si>
  <si>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</si>
  <si>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</si>
  <si>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</si>
  <si>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</si>
  <si>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</si>
  <si>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</si>
  <si>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</si>
  <si>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</si>
  <si>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</si>
  <si>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</si>
  <si>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</si>
  <si>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</si>
  <si>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</si>
  <si>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</si>
  <si>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</si>
  <si>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</si>
  <si>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</si>
  <si>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</si>
  <si>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</si>
  <si>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</si>
  <si>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</si>
  <si>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</si>
  <si>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</si>
  <si>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</si>
  <si>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</si>
  <si>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</si>
  <si>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</si>
  <si>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</si>
  <si>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</si>
  <si>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</si>
  <si>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</si>
  <si>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</si>
  <si>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</si>
  <si>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</si>
  <si>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</si>
  <si>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</si>
  <si>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</si>
  <si>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</si>
  <si>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</si>
  <si>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</si>
  <si>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</si>
  <si>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</si>
  <si>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</si>
  <si>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</si>
  <si>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</si>
  <si>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</si>
  <si>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</si>
  <si>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</si>
  <si>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</si>
  <si>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</si>
  <si>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</si>
  <si>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</si>
  <si>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</si>
  <si>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</si>
  <si>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</si>
  <si>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</si>
  <si>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</si>
  <si>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</si>
  <si>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</si>
  <si>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</si>
  <si>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</si>
  <si>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</si>
  <si>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</si>
  <si>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</si>
  <si>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</si>
  <si>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</si>
  <si>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</si>
  <si>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</si>
  <si>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</si>
  <si>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</si>
  <si>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</si>
  <si>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</si>
  <si>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</si>
  <si>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</si>
  <si>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</si>
  <si>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</si>
  <si>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</si>
  <si>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</si>
  <si>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</si>
  <si>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</si>
  <si>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</si>
  <si>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</si>
  <si>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</si>
  <si>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</si>
  <si>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</si>
  <si>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</si>
  <si>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</si>
  <si>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</si>
  <si>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</si>
  <si>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</si>
  <si>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</si>
  <si>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</si>
  <si>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</si>
  <si>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</si>
  <si>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</si>
  <si>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</si>
  <si>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</si>
  <si>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</si>
  <si>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</si>
  <si>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</si>
  <si>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</si>
  <si>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</si>
  <si>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</si>
  <si>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</si>
  <si>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</si>
  <si>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</si>
  <si>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</si>
  <si>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</si>
  <si>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</si>
  <si>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</si>
  <si>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</si>
  <si>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</si>
  <si>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</si>
  <si>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</si>
  <si>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</si>
  <si>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</si>
  <si>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</si>
  <si>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</si>
  <si>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</si>
  <si>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</si>
  <si>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</si>
  <si>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</si>
  <si>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</si>
  <si>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</si>
  <si>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</si>
  <si>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</si>
  <si>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</si>
  <si>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</si>
  <si>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</si>
  <si>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</si>
  <si>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</si>
  <si>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</si>
  <si>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</si>
  <si>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</si>
  <si>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</si>
  <si>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</si>
  <si>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</si>
  <si>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</si>
  <si>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</si>
  <si>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</si>
  <si>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</si>
  <si>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</si>
  <si>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</si>
  <si>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</si>
  <si>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</si>
  <si>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</si>
  <si>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</si>
  <si>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</si>
  <si>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</si>
  <si>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</si>
  <si>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</si>
  <si>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</si>
  <si>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</si>
  <si>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</si>
  <si>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</si>
  <si>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</si>
  <si>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</si>
  <si>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</si>
  <si>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</si>
  <si>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</si>
  <si>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</si>
  <si>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</si>
  <si>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</si>
  <si>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</si>
  <si>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</si>
  <si>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</si>
  <si>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</si>
  <si>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</si>
  <si>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</si>
  <si>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</si>
  <si>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</si>
  <si>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</si>
  <si>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</si>
  <si>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</si>
  <si>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</si>
  <si>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</si>
  <si>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</si>
  <si>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</si>
  <si>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</si>
  <si>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</si>
  <si>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</si>
  <si>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</si>
  <si>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</si>
  <si>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</si>
  <si>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</si>
  <si>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</si>
  <si>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</si>
  <si>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</si>
  <si>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</si>
  <si>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</si>
  <si>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</si>
  <si>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</si>
  <si>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</si>
  <si>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</si>
  <si>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</si>
  <si>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</si>
  <si>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</si>
  <si>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</si>
  <si>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</si>
  <si>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</si>
  <si>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</si>
  <si>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</si>
  <si>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</si>
  <si>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</si>
  <si>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</si>
  <si>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</si>
  <si>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</si>
  <si>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</si>
  <si>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</si>
  <si>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</si>
  <si>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</si>
  <si>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</si>
  <si>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</si>
  <si>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</si>
  <si>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</si>
  <si>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</si>
  <si>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</si>
  <si>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</si>
  <si>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</si>
  <si>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</si>
  <si>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</si>
  <si>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</si>
  <si>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</si>
  <si>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</si>
  <si>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</si>
  <si>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</si>
  <si>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</si>
  <si>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</si>
  <si>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</si>
  <si>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</si>
  <si>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</si>
  <si>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</si>
  <si>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</si>
  <si>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</si>
  <si>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</si>
  <si>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</si>
  <si>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</si>
  <si>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</si>
  <si>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</si>
  <si>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</si>
  <si>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</si>
  <si>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</si>
  <si>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</si>
  <si>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</si>
  <si>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</si>
  <si>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</si>
  <si>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</si>
  <si>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</si>
  <si>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</si>
  <si>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</si>
  <si>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</si>
  <si>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</si>
  <si>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</si>
  <si>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</si>
  <si>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</si>
  <si>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</si>
  <si>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</si>
  <si>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</si>
  <si>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</si>
  <si>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</si>
  <si>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</si>
  <si>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</si>
  <si>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</si>
  <si>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</si>
  <si>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</si>
  <si>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</si>
  <si>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</si>
  <si>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</si>
  <si>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</si>
  <si>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</si>
  <si>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</si>
  <si>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</si>
  <si>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</si>
  <si>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</si>
  <si>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</si>
  <si>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</si>
  <si>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</si>
  <si>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</si>
  <si>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</si>
  <si>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</si>
  <si>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</si>
  <si>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</si>
  <si>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</si>
  <si>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</si>
  <si>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</si>
  <si>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</si>
  <si>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</si>
  <si>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</si>
  <si>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</si>
  <si>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</si>
  <si>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</si>
  <si>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</si>
  <si>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</si>
  <si>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</si>
  <si>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</si>
  <si>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</si>
  <si>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</si>
  <si>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</si>
  <si>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</si>
  <si>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</si>
  <si>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</si>
  <si>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</si>
  <si>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</si>
  <si>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</si>
  <si>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</si>
  <si>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</si>
  <si>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</si>
  <si>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</si>
  <si>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</si>
  <si>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</si>
  <si>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</si>
  <si>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</si>
  <si>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</si>
  <si>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</si>
  <si>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</si>
  <si>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</si>
  <si>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</si>
  <si>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</si>
  <si>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</si>
  <si>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</si>
  <si>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</si>
  <si>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</si>
  <si>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</si>
  <si>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</si>
  <si>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</si>
  <si>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</si>
  <si>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</si>
  <si>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</si>
  <si>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</si>
  <si>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</si>
  <si>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</si>
  <si>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</si>
  <si>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</si>
  <si>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</si>
  <si>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</si>
  <si>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</si>
  <si>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</si>
  <si>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</si>
  <si>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</si>
  <si>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</si>
  <si>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</si>
  <si>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</si>
  <si>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</si>
  <si>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</si>
  <si>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</si>
  <si>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</si>
  <si>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</si>
  <si>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</si>
  <si>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</si>
  <si>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</si>
  <si>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</si>
  <si>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</si>
  <si>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</si>
  <si>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</si>
  <si>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</si>
  <si>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</si>
  <si>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</si>
  <si>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</si>
  <si>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</si>
  <si>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</si>
  <si>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</si>
  <si>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</si>
  <si>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</si>
  <si>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</si>
  <si>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</si>
  <si>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</si>
  <si>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</si>
  <si>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</si>
  <si>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</si>
  <si>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</si>
  <si>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</si>
  <si>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</si>
  <si>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</si>
  <si>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</si>
  <si>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</si>
  <si>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</si>
  <si>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</si>
  <si>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</si>
  <si>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</si>
  <si>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</si>
  <si>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</si>
  <si>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</si>
  <si>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</si>
  <si>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</si>
  <si>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</si>
  <si>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</si>
  <si>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</si>
  <si>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</si>
  <si>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</si>
  <si>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</si>
  <si>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</si>
  <si>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</si>
  <si>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</si>
  <si>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</si>
  <si>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</si>
  <si>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</si>
  <si>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</si>
  <si>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</si>
  <si>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</si>
  <si>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</si>
  <si>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</si>
  <si>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</si>
  <si>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</si>
  <si>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</si>
  <si>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</si>
  <si>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</si>
  <si>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</si>
  <si>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</si>
  <si>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</si>
  <si>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</si>
  <si>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</si>
  <si>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</si>
  <si>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</si>
  <si>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</si>
  <si>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</si>
  <si>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</si>
  <si>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</si>
  <si>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</si>
  <si>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</si>
  <si>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</si>
  <si>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</si>
  <si>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</si>
  <si>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</si>
  <si>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</si>
  <si>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</si>
  <si>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</si>
  <si>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</si>
  <si>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</si>
  <si>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</si>
  <si>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</si>
  <si>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</si>
  <si>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</si>
  <si>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</si>
  <si>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</si>
  <si>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</si>
  <si>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</si>
  <si>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</si>
  <si>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</si>
  <si>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</si>
  <si>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</si>
  <si>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</si>
  <si>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</si>
  <si>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</si>
  <si>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</si>
  <si>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</si>
  <si>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</si>
  <si>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</si>
  <si>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</si>
  <si>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</si>
  <si>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</si>
  <si>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</si>
  <si>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</si>
  <si>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</si>
  <si>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</si>
  <si>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</si>
  <si>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</si>
  <si>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</si>
  <si>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</si>
  <si>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</si>
  <si>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</si>
  <si>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</si>
  <si>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</si>
  <si>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</si>
  <si>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</si>
  <si>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</si>
  <si>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</si>
  <si>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</si>
  <si>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</si>
  <si>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</si>
  <si>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</si>
  <si>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</si>
  <si>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</si>
  <si>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</si>
  <si>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</si>
  <si>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</si>
  <si>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</si>
  <si>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</si>
  <si>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</si>
  <si>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</si>
  <si>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</si>
  <si>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</si>
  <si>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</si>
  <si>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</si>
  <si>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</si>
  <si>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</si>
  <si>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</si>
  <si>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</si>
  <si>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</si>
  <si>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</si>
  <si>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</si>
  <si>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</si>
  <si>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</si>
  <si>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</si>
  <si>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</si>
  <si>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</si>
  <si>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</si>
  <si>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</si>
  <si>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</si>
  <si>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</si>
  <si>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</si>
  <si>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</si>
  <si>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</si>
  <si>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</si>
  <si>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</si>
  <si>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</si>
  <si>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</si>
  <si>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</si>
  <si>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</si>
  <si>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</si>
  <si>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</si>
  <si>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</si>
  <si>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</si>
  <si>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</si>
  <si>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</si>
  <si>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</si>
  <si>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</si>
  <si>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</si>
  <si>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</si>
  <si>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</si>
  <si>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</si>
  <si>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</si>
  <si>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</si>
  <si>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</si>
  <si>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</si>
  <si>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</si>
  <si>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</si>
  <si>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</si>
  <si>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</si>
  <si>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</si>
  <si>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</si>
  <si>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</si>
  <si>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</si>
  <si>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</si>
  <si>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</si>
  <si>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</si>
  <si>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</si>
  <si>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</si>
  <si>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</si>
  <si>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</si>
  <si>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</si>
  <si>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</si>
  <si>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</si>
  <si>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</si>
  <si>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</si>
  <si>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</si>
  <si>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</si>
  <si>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</si>
  <si>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</si>
  <si>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</si>
  <si>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</si>
  <si>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</si>
  <si>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</si>
  <si>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</si>
  <si>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</si>
  <si>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</si>
  <si>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</si>
  <si>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</si>
  <si>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</si>
  <si>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</si>
  <si>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</si>
  <si>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</si>
  <si>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</si>
  <si>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</si>
  <si>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</si>
  <si>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</si>
  <si>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</si>
  <si>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</si>
  <si>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</si>
  <si>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</si>
  <si>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</si>
  <si>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</si>
  <si>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</si>
  <si>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</si>
  <si>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</si>
  <si>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</si>
  <si>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</si>
  <si>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</si>
  <si>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</si>
  <si>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</si>
  <si>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</si>
  <si>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</si>
  <si>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</si>
  <si>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</si>
  <si>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</si>
  <si>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</si>
  <si>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</si>
  <si>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</si>
  <si>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</si>
  <si>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</si>
  <si>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</si>
  <si>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</si>
  <si>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</si>
  <si>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</si>
  <si>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</si>
  <si>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</si>
  <si>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</si>
  <si>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</si>
  <si>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</si>
  <si>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</si>
  <si>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</si>
  <si>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</si>
  <si>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</si>
  <si>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</si>
  <si>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</si>
  <si>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</si>
  <si>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</si>
  <si>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</si>
  <si>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</si>
  <si>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</si>
  <si>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</si>
  <si>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</si>
  <si>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</si>
  <si>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</si>
  <si>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</si>
  <si>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</si>
  <si>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</si>
  <si>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</si>
  <si>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</si>
  <si>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</si>
  <si>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</si>
  <si>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</si>
  <si>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</si>
  <si>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</si>
  <si>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</si>
  <si>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</si>
  <si>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</si>
  <si>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</si>
  <si>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</si>
  <si>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</si>
  <si>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</si>
  <si>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</si>
  <si>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</si>
  <si>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</si>
  <si>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</si>
  <si>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</si>
  <si>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</si>
  <si>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</si>
  <si>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</si>
  <si>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</si>
  <si>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</si>
  <si>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</si>
  <si>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</si>
  <si>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</si>
  <si>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</si>
  <si>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</si>
  <si>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</si>
  <si>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</si>
  <si>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</si>
  <si>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</si>
  <si>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</si>
  <si>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</si>
  <si>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</si>
  <si>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</si>
  <si>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</si>
  <si>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</si>
  <si>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</si>
  <si>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</si>
  <si>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</si>
  <si>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</si>
  <si>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</si>
  <si>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</si>
  <si>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</si>
  <si>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</si>
  <si>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</si>
  <si>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</si>
  <si>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</si>
  <si>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</si>
  <si>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</si>
  <si>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</si>
  <si>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</si>
  <si>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</si>
  <si>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</si>
  <si>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</si>
  <si>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</si>
  <si>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</si>
  <si>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</si>
  <si>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</si>
  <si>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</si>
  <si>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</si>
  <si>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</si>
  <si>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</si>
  <si>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</si>
  <si>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</si>
  <si>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</si>
  <si>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</si>
  <si>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</si>
  <si>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</si>
  <si>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</si>
  <si>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</si>
  <si>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</si>
  <si>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</si>
  <si>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</si>
  <si>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</si>
  <si>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</si>
  <si>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</si>
  <si>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</si>
  <si>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</si>
  <si>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</si>
  <si>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</si>
  <si>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</si>
  <si>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</si>
  <si>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</si>
  <si>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</si>
  <si>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</si>
  <si>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</si>
  <si>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</si>
  <si>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</si>
  <si>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</si>
  <si>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</si>
  <si>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</si>
  <si>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</si>
  <si>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</si>
  <si>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</si>
  <si>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</si>
  <si>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</si>
  <si>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</si>
  <si>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</si>
  <si>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</si>
  <si>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</si>
  <si>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</si>
  <si>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</si>
  <si>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</si>
  <si>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</si>
  <si>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</si>
  <si>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</si>
  <si>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</si>
  <si>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</si>
  <si>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</si>
  <si>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</si>
  <si>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</si>
  <si>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</si>
  <si>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</si>
  <si>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</si>
  <si>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</si>
  <si>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</si>
  <si>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</si>
  <si>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</si>
  <si>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</si>
  <si>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</si>
  <si>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</si>
  <si>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</si>
  <si>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</si>
  <si>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</si>
  <si>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</si>
  <si>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</si>
  <si>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</si>
  <si>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</si>
  <si>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</si>
  <si>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</si>
  <si>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</si>
  <si>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</si>
  <si>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</si>
  <si>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</si>
  <si>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</si>
  <si>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</si>
  <si>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</si>
  <si>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</si>
  <si>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</si>
  <si>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</si>
  <si>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</si>
  <si>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</si>
  <si>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</si>
  <si>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</si>
  <si>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</si>
  <si>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</si>
  <si>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</si>
  <si>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</si>
  <si>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</si>
  <si>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</si>
  <si>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</si>
  <si>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</si>
  <si>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</si>
  <si>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</si>
  <si>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</si>
  <si>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</si>
  <si>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</si>
  <si>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</si>
  <si>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</si>
  <si>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</si>
  <si>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</si>
  <si>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</si>
  <si>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</si>
  <si>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</si>
  <si>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</si>
  <si>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</si>
  <si>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</si>
  <si>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</si>
  <si>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</si>
  <si>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</si>
  <si>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</si>
  <si>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</si>
  <si>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</si>
  <si>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</si>
  <si>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</si>
  <si>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</si>
  <si>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</si>
  <si>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</si>
  <si>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</si>
  <si>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</si>
  <si>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</si>
  <si>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</si>
  <si>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</si>
  <si>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</si>
  <si>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</si>
  <si>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</si>
  <si>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</si>
  <si>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</si>
  <si>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</si>
  <si>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</si>
  <si>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</si>
  <si>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</si>
  <si>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</si>
  <si>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</si>
  <si>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</si>
  <si>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</si>
  <si>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</si>
  <si>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</si>
  <si>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</si>
  <si>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</si>
  <si>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</si>
  <si>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</si>
  <si>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</si>
  <si>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</si>
  <si>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</si>
  <si>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</si>
  <si>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</si>
  <si>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</si>
  <si>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</si>
  <si>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</si>
  <si>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</si>
  <si>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</si>
  <si>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</si>
  <si>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</si>
  <si>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</si>
  <si>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</si>
  <si>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</si>
  <si>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</si>
  <si>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</si>
  <si>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</si>
  <si>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</si>
  <si>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</si>
  <si>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</si>
  <si>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</si>
  <si>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</si>
  <si>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</si>
  <si>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</si>
  <si>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</si>
  <si>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</si>
  <si>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</si>
  <si>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</si>
  <si>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</si>
  <si>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</si>
  <si>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</si>
  <si>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</si>
  <si>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</si>
  <si>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</si>
  <si>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</si>
  <si>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</si>
  <si>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</si>
  <si>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</si>
  <si>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</si>
  <si>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</si>
  <si>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</si>
  <si>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</si>
  <si>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</si>
  <si>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</si>
  <si>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</si>
  <si>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</si>
  <si>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</si>
  <si>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</si>
  <si>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</si>
  <si>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</si>
  <si>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</si>
  <si>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</si>
  <si>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</si>
  <si>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</si>
  <si>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</si>
  <si>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</si>
  <si>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</si>
  <si>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</si>
  <si>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</si>
  <si>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</si>
  <si>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</si>
  <si>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</si>
  <si>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</si>
  <si>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</si>
  <si>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</si>
  <si>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</si>
  <si>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</si>
  <si>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</si>
  <si>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</si>
  <si>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</si>
  <si>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</si>
  <si>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</si>
  <si>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</si>
  <si>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</si>
  <si>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</si>
  <si>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</si>
  <si>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</si>
  <si>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</si>
  <si>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</si>
  <si>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</si>
  <si>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</si>
  <si>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</si>
  <si>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</si>
  <si>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</si>
  <si>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</si>
  <si>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</si>
  <si>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</si>
  <si>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</si>
  <si>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</si>
  <si>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</si>
  <si>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</si>
  <si>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</si>
  <si>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</si>
  <si>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</si>
  <si>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</si>
  <si>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</si>
  <si>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</si>
  <si>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</si>
  <si>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</si>
  <si>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</si>
  <si>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</si>
  <si>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</si>
  <si>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</si>
  <si>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</si>
  <si>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</si>
  <si>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</si>
  <si>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</si>
  <si>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</si>
  <si>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</si>
  <si>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</si>
  <si>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</si>
  <si>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</si>
  <si>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</si>
  <si>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</si>
  <si>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</si>
  <si>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</si>
  <si>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</si>
  <si>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</si>
  <si>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</si>
  <si>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</si>
  <si>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</si>
  <si>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</si>
  <si>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</si>
  <si>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</si>
  <si>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</si>
  <si>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</si>
  <si>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</si>
  <si>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</si>
  <si>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</si>
  <si>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</si>
  <si>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</si>
  <si>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</si>
  <si>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</si>
  <si>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</si>
  <si>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</si>
  <si>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</si>
  <si>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</si>
  <si>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</si>
  <si>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</si>
  <si>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</si>
  <si>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</si>
  <si>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</si>
  <si>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</si>
  <si>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</si>
  <si>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</si>
  <si>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</si>
  <si>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</si>
  <si>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</si>
  <si>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</si>
  <si>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</si>
  <si>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</si>
  <si>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</si>
  <si>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</si>
  <si>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</si>
  <si>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</si>
  <si>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</si>
  <si>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</si>
  <si>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</si>
  <si>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</si>
  <si>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</si>
  <si>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</si>
  <si>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</si>
  <si>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</si>
  <si>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</si>
  <si>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</si>
  <si>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</si>
  <si>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</si>
  <si>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</si>
  <si>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</si>
  <si>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</si>
  <si>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</si>
  <si>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</si>
  <si>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</si>
  <si>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</si>
  <si>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</si>
  <si>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</si>
  <si>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</si>
  <si>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</si>
  <si>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</si>
  <si>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</si>
  <si>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</si>
  <si>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</si>
  <si>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</si>
  <si>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</si>
  <si>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</si>
  <si>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</si>
  <si>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</si>
  <si>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</si>
  <si>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</si>
  <si>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</si>
  <si>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</si>
  <si>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</si>
  <si>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</si>
  <si>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</si>
  <si>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</si>
  <si>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</si>
  <si>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</si>
  <si>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</si>
  <si>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</si>
  <si>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</si>
  <si>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</si>
  <si>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</si>
  <si>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</si>
  <si>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</si>
  <si>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</si>
  <si>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</si>
  <si>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</si>
  <si>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</si>
  <si>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</si>
  <si>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</si>
  <si>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</si>
  <si>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</si>
  <si>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</si>
  <si>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</si>
  <si>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</si>
  <si>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</si>
  <si>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</si>
  <si>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</si>
  <si>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</si>
  <si>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</si>
  <si>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</si>
  <si>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</si>
  <si>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</si>
  <si>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</si>
  <si>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</si>
  <si>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</si>
  <si>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</si>
  <si>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</si>
  <si>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</si>
  <si>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</si>
  <si>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</si>
  <si>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</si>
  <si>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</si>
  <si>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</si>
  <si>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</si>
  <si>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</si>
  <si>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</si>
  <si>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</si>
  <si>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</si>
  <si>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</si>
  <si>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</si>
  <si>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</si>
  <si>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</si>
  <si>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</si>
  <si>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</si>
  <si>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</si>
  <si>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</si>
  <si>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</si>
  <si>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</si>
  <si>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</si>
  <si>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</si>
  <si>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</si>
  <si>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</si>
  <si>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</si>
  <si>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</si>
  <si>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</si>
  <si>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</si>
  <si>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</si>
  <si>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</si>
  <si>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</si>
  <si>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</si>
  <si>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</si>
  <si>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</si>
  <si>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</si>
  <si>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</si>
  <si>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</si>
  <si>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</si>
  <si>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</si>
  <si>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</si>
  <si>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</si>
  <si>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</si>
  <si>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</si>
  <si>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</si>
  <si>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</si>
  <si>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</si>
  <si>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</si>
  <si>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</si>
  <si>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</si>
  <si>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</si>
  <si>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</si>
  <si>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</si>
  <si>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</si>
  <si>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</si>
  <si>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</si>
  <si>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</si>
  <si>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</si>
  <si>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</si>
  <si>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</si>
  <si>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</si>
  <si>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</si>
  <si>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</si>
  <si>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</si>
  <si>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</si>
  <si>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</si>
  <si>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</si>
  <si>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</si>
  <si>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</si>
  <si>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</si>
  <si>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</si>
  <si>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</si>
  <si>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</si>
  <si>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</si>
  <si>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</si>
  <si>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</si>
  <si>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</si>
  <si>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</si>
  <si>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</si>
  <si>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</si>
  <si>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</si>
  <si>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</si>
  <si>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</si>
  <si>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</si>
  <si>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</si>
  <si>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</si>
  <si>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</si>
  <si>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</si>
  <si>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</si>
  <si>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</si>
  <si>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</si>
  <si>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</si>
  <si>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</si>
  <si>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</si>
  <si>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</si>
  <si>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</si>
  <si>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</si>
  <si>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</si>
  <si>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</si>
  <si>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</si>
  <si>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</si>
  <si>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</si>
  <si>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</si>
  <si>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</si>
  <si>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</si>
  <si>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</si>
  <si>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</si>
  <si>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</si>
  <si>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</si>
  <si>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</si>
  <si>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</si>
  <si>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</si>
  <si>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</si>
  <si>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</si>
  <si>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</si>
  <si>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</si>
  <si>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</si>
  <si>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</si>
  <si>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</si>
  <si>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</si>
  <si>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</si>
  <si>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</si>
  <si>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</si>
  <si>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</si>
  <si>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</si>
  <si>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</si>
  <si>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</si>
  <si>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</si>
  <si>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</si>
  <si>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</si>
  <si>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</si>
  <si>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</si>
  <si>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</si>
  <si>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</si>
  <si>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</si>
  <si>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</si>
  <si>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</si>
  <si>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</si>
  <si>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</si>
  <si>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</si>
  <si>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</si>
  <si>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</si>
  <si>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</si>
  <si>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</si>
  <si>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</si>
  <si>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</si>
  <si>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</si>
  <si>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</si>
  <si>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</si>
  <si>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</si>
  <si>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</si>
  <si>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</si>
  <si>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</si>
  <si>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</si>
  <si>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</si>
  <si>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</si>
  <si>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</si>
  <si>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</si>
  <si>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</si>
  <si>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</si>
  <si>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</si>
  <si>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</si>
  <si>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</si>
  <si>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</si>
  <si>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</si>
  <si>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</si>
  <si>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</si>
  <si>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</si>
  <si>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</si>
  <si>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</si>
  <si>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</si>
  <si>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</si>
  <si>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</si>
  <si>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</si>
  <si>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</si>
  <si>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</si>
  <si>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</si>
  <si>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</si>
  <si>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</si>
  <si>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</si>
  <si>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</si>
  <si>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</si>
  <si>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</si>
  <si>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</si>
  <si>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</si>
  <si>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</si>
  <si>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</si>
  <si>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</si>
  <si>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</si>
  <si>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</si>
  <si>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</si>
  <si>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</si>
  <si>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</si>
  <si>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</si>
  <si>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</si>
  <si>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</si>
  <si>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</si>
  <si>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</si>
  <si>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</si>
  <si>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</si>
  <si>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</si>
  <si>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</si>
  <si>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</si>
  <si>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</si>
  <si>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</si>
  <si>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</si>
  <si>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</si>
  <si>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</si>
  <si>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</si>
  <si>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</si>
  <si>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</si>
  <si>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</si>
  <si>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</si>
  <si>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</si>
  <si>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</si>
  <si>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</si>
  <si>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</si>
  <si>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</si>
  <si>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</si>
  <si>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</si>
  <si>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</si>
  <si>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</si>
  <si>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</si>
  <si>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</si>
  <si>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</si>
  <si>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</si>
  <si>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</si>
  <si>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</si>
  <si>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</si>
  <si>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</si>
  <si>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</si>
  <si>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</si>
  <si>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</si>
  <si>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</si>
  <si>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</si>
  <si>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</si>
  <si>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</si>
  <si>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</si>
  <si>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</si>
  <si>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</si>
  <si>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</si>
  <si>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</si>
  <si>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</si>
  <si>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</si>
  <si>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</si>
  <si>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</si>
  <si>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</si>
  <si>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</si>
  <si>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</si>
  <si>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</si>
  <si>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</si>
  <si>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</si>
  <si>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</si>
  <si>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</si>
  <si>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</si>
  <si>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</si>
  <si>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</si>
  <si>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</si>
  <si>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</si>
  <si>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</si>
  <si>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</si>
  <si>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</si>
  <si>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</si>
  <si>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</si>
  <si>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</si>
  <si>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</si>
  <si>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</si>
  <si>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</si>
  <si>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</si>
  <si>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</si>
  <si>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</si>
  <si>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</si>
  <si>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</si>
  <si>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</si>
  <si>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</si>
  <si>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</si>
  <si>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</si>
  <si>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</si>
  <si>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</si>
  <si>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</si>
  <si>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</si>
  <si>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</si>
  <si>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</si>
  <si>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</si>
  <si>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</si>
  <si>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</si>
  <si>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</si>
  <si>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</si>
  <si>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</si>
  <si>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</si>
  <si>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</si>
  <si>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</si>
  <si>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</si>
  <si>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</si>
  <si>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</si>
  <si>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</si>
  <si>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</si>
  <si>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</si>
  <si>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</si>
  <si>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</si>
  <si>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</si>
  <si>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</si>
  <si>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</si>
  <si>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</si>
  <si>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</si>
  <si>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</si>
  <si>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</si>
  <si>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</si>
  <si>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</si>
  <si>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</si>
  <si>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</si>
  <si>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</si>
  <si>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</si>
  <si>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</si>
  <si>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</si>
  <si>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</si>
  <si>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</si>
  <si>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</si>
  <si>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</si>
  <si>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</si>
  <si>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</si>
  <si>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</si>
  <si>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</si>
  <si>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</si>
  <si>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</si>
  <si>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</si>
  <si>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</si>
  <si>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</si>
  <si>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</si>
  <si>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</si>
  <si>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</si>
  <si>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</si>
  <si>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</si>
  <si>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</si>
  <si>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</si>
  <si>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</si>
  <si>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</si>
  <si>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</si>
  <si>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</si>
  <si>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</si>
  <si>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</si>
  <si>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</si>
  <si>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</si>
  <si>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</si>
  <si>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</si>
  <si>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</si>
  <si>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</si>
  <si>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</si>
  <si>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</si>
  <si>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</si>
  <si>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</si>
  <si>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</si>
  <si>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</si>
  <si>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</si>
  <si>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</si>
  <si>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</si>
  <si>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</si>
  <si>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</si>
  <si>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</si>
  <si>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</si>
  <si>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</si>
  <si>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</si>
  <si>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</si>
  <si>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</si>
  <si>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</si>
  <si>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</si>
  <si>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</si>
  <si>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</si>
  <si>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</si>
  <si>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</si>
  <si>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</si>
  <si>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</si>
  <si>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</si>
  <si>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</si>
  <si>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</si>
  <si>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</si>
  <si>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</si>
  <si>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</si>
  <si>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</si>
  <si>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</si>
  <si>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</si>
  <si>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</si>
  <si>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</si>
  <si>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</si>
  <si>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</si>
  <si>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</si>
  <si>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</si>
  <si>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</si>
  <si>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</si>
  <si>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</si>
  <si>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</si>
  <si>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</si>
  <si>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</si>
  <si>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</si>
  <si>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</si>
  <si>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</si>
  <si>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</si>
  <si>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</si>
  <si>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</si>
  <si>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</si>
  <si>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</si>
  <si>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</si>
  <si>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</si>
  <si>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</si>
  <si>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</si>
  <si>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</si>
  <si>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</si>
  <si>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</si>
  <si>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</si>
  <si>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</si>
  <si>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</si>
  <si>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</si>
  <si>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</si>
  <si>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</si>
  <si>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</si>
  <si>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</si>
  <si>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</si>
  <si>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</si>
  <si>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</si>
  <si>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</si>
  <si>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</si>
  <si>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</si>
  <si>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</si>
  <si>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</si>
  <si>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</si>
  <si>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</si>
  <si>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</si>
  <si>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</si>
  <si>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</si>
  <si>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</si>
  <si>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</si>
  <si>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</si>
  <si>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</si>
  <si>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</si>
  <si>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</si>
  <si>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</si>
  <si>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</si>
  <si>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</si>
  <si>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</si>
  <si>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</si>
  <si>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</si>
  <si>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</si>
  <si>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</si>
  <si>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</si>
  <si>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</si>
  <si>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</si>
  <si>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</si>
  <si>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</si>
  <si>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</si>
  <si>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</si>
  <si>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</si>
  <si>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</si>
  <si>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</si>
  <si>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</si>
  <si>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</si>
  <si>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</si>
  <si>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</si>
  <si>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</si>
  <si>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</si>
  <si>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</si>
  <si>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</si>
  <si>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</si>
  <si>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</si>
  <si>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</si>
  <si>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</si>
  <si>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</si>
  <si>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</si>
  <si>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</si>
  <si>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</si>
  <si>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</si>
  <si>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</si>
  <si>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</si>
  <si>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</si>
  <si>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</si>
  <si>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</si>
  <si>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</si>
  <si>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</si>
  <si>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</si>
  <si>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</si>
  <si>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</si>
  <si>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</si>
  <si>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</si>
  <si>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</si>
  <si>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</si>
  <si>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</si>
  <si>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</si>
  <si>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</si>
  <si>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</si>
  <si>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</si>
  <si>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</si>
  <si>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</si>
  <si>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</si>
  <si>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</si>
  <si>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</si>
  <si>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</si>
  <si>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</si>
  <si>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</si>
  <si>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</si>
  <si>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</si>
  <si>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</si>
  <si>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</si>
  <si>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</si>
  <si>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</si>
  <si>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</si>
  <si>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</si>
  <si>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</si>
  <si>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</si>
  <si>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</si>
  <si>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</si>
  <si>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</si>
  <si>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</si>
  <si>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</si>
  <si>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</si>
  <si>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</si>
  <si>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</si>
  <si>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</si>
  <si>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</si>
  <si>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</si>
  <si>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</si>
  <si>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</si>
  <si>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</si>
  <si>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</si>
  <si>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</si>
  <si>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</si>
  <si>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</si>
  <si>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</si>
  <si>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</si>
  <si>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</si>
  <si>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</si>
  <si>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</si>
  <si>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</si>
  <si>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</si>
  <si>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</si>
  <si>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</si>
  <si>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</si>
  <si>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</si>
  <si>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</si>
  <si>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</si>
  <si>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</si>
  <si>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</si>
  <si>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</si>
  <si>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</si>
  <si>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</si>
  <si>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</si>
  <si>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</si>
  <si>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</si>
  <si>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</si>
  <si>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</si>
  <si>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</si>
  <si>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</si>
  <si>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</si>
  <si>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</si>
  <si>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</si>
  <si>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</si>
  <si>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</si>
  <si>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</si>
  <si>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</si>
  <si>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</si>
  <si>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</si>
  <si>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</si>
  <si>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</si>
  <si>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</si>
  <si>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</si>
  <si>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</si>
  <si>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</si>
  <si>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</si>
  <si>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</si>
  <si>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</si>
  <si>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</si>
  <si>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</si>
  <si>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</si>
  <si>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</si>
  <si>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</si>
  <si>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</si>
  <si>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</si>
  <si>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</si>
  <si>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</si>
  <si>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</si>
  <si>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</si>
  <si>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</si>
  <si>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</si>
  <si>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</si>
  <si>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</si>
  <si>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</si>
  <si>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</si>
  <si>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</si>
  <si>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</si>
  <si>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</si>
  <si>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</si>
  <si>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</si>
  <si>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</si>
  <si>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</si>
  <si>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</si>
  <si>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</si>
  <si>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</si>
  <si>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</si>
  <si>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</si>
  <si>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</si>
  <si>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</si>
  <si>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</si>
  <si>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</si>
  <si>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</si>
  <si>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</si>
  <si>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</si>
  <si>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</si>
  <si>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</si>
  <si>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</si>
  <si>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</si>
  <si>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</si>
  <si>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</si>
  <si>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</si>
  <si>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</si>
  <si>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</si>
  <si>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</si>
  <si>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</si>
  <si>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</si>
  <si>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</si>
  <si>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</si>
  <si>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</si>
  <si>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</si>
  <si>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</si>
  <si>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</si>
  <si>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</si>
  <si>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</si>
  <si>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</si>
  <si>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</si>
  <si>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</si>
  <si>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</si>
  <si>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</si>
  <si>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</si>
  <si>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</si>
  <si>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</si>
  <si>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</si>
  <si>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</si>
  <si>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</si>
  <si>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</si>
  <si>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</si>
  <si>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</si>
  <si>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</si>
  <si>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</si>
  <si>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</si>
  <si>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</si>
  <si>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</si>
  <si>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</si>
  <si>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</si>
  <si>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</si>
  <si>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</si>
  <si>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</si>
  <si>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</si>
  <si>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</si>
  <si>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</si>
  <si>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</si>
  <si>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</si>
  <si>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</si>
  <si>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</si>
  <si>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</si>
  <si>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</si>
  <si>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</si>
  <si>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</si>
  <si>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</si>
  <si>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</si>
  <si>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</si>
  <si>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</si>
  <si>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</si>
  <si>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</si>
  <si>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</si>
  <si>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</si>
  <si>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</si>
  <si>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</si>
  <si>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</si>
  <si>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</si>
  <si>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</si>
  <si>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</si>
  <si>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</si>
  <si>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</si>
  <si>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</si>
  <si>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</si>
  <si>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</si>
  <si>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</si>
  <si>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</si>
  <si>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</si>
  <si>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</si>
  <si>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</si>
  <si>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</si>
  <si>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</si>
  <si>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</si>
  <si>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</si>
  <si>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</si>
  <si>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</si>
  <si>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</si>
  <si>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</si>
  <si>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</si>
  <si>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</si>
  <si>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</si>
  <si>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</si>
  <si>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</si>
  <si>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</si>
  <si>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</si>
  <si>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</si>
  <si>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</si>
  <si>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</si>
  <si>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</si>
  <si>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</si>
  <si>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</si>
  <si>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</si>
  <si>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</si>
  <si>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</si>
  <si>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</si>
  <si>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</si>
  <si>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</si>
  <si>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</si>
  <si>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</si>
  <si>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</si>
  <si>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</si>
  <si>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</si>
  <si>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</si>
  <si>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</si>
  <si>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</si>
  <si>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</si>
  <si>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</si>
  <si>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</si>
  <si>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</si>
  <si>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</si>
  <si>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</si>
  <si>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</si>
  <si>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</si>
  <si>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</si>
  <si>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</si>
  <si>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</si>
  <si>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</si>
  <si>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</si>
  <si>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</si>
  <si>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</si>
  <si>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</si>
  <si>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</si>
  <si>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</si>
  <si>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</si>
  <si>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</si>
  <si>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</si>
  <si>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</si>
  <si>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</si>
  <si>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</si>
  <si>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</si>
  <si>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</si>
  <si>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</si>
  <si>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</si>
  <si>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</si>
  <si>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</si>
  <si>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</si>
  <si>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</si>
  <si>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</si>
  <si>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</si>
  <si>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</si>
  <si>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</si>
  <si>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</si>
  <si>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</si>
  <si>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</si>
  <si>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</si>
  <si>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</si>
  <si>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</si>
  <si>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</si>
  <si>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</si>
  <si>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</si>
  <si>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</si>
  <si>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</si>
  <si>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</si>
  <si>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</si>
  <si>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</si>
  <si>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</si>
  <si>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</si>
  <si>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</si>
  <si>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</si>
  <si>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</si>
  <si>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</si>
  <si>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</si>
  <si>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</si>
  <si>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</si>
  <si>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</si>
  <si>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</si>
  <si>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</si>
  <si>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</si>
  <si>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</si>
  <si>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</si>
  <si>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</si>
  <si>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</si>
  <si>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</si>
  <si>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</si>
  <si>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</si>
  <si>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</si>
  <si>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</si>
  <si>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</si>
  <si>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</si>
  <si>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</si>
  <si>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</si>
  <si>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</si>
  <si>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</si>
  <si>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</si>
  <si>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</si>
  <si>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</si>
  <si>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</si>
  <si>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</si>
  <si>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</si>
  <si>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</si>
  <si>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</si>
  <si>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</si>
  <si>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</si>
  <si>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</si>
  <si>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</si>
  <si>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</si>
  <si>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</si>
  <si>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</si>
  <si>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</si>
  <si>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</si>
  <si>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</si>
  <si>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</si>
  <si>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</si>
  <si>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</si>
  <si>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</si>
  <si>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</si>
  <si>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</si>
  <si>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</si>
  <si>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</si>
  <si>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</si>
  <si>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</si>
  <si>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</si>
  <si>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</si>
  <si>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</si>
  <si>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</si>
  <si>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</si>
  <si>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</si>
  <si>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</si>
  <si>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</si>
  <si>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</si>
  <si>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</si>
  <si>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</si>
  <si>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</si>
  <si>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</si>
  <si>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</si>
  <si>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</si>
  <si>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</si>
  <si>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</si>
  <si>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</si>
  <si>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</si>
  <si>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</si>
  <si>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</si>
  <si>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</si>
  <si>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</si>
  <si>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</si>
  <si>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</si>
  <si>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</si>
  <si>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</si>
  <si>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</si>
  <si>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</si>
  <si>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</si>
  <si>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</si>
  <si>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</si>
  <si>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</si>
  <si>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</si>
  <si>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</si>
  <si>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</si>
  <si>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</si>
  <si>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</si>
  <si>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</si>
  <si>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</si>
  <si>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</si>
  <si>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</si>
  <si>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</si>
  <si>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</si>
  <si>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</si>
  <si>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</si>
  <si>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</si>
  <si>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</si>
  <si>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</si>
  <si>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</si>
  <si>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</si>
  <si>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</si>
  <si>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</si>
  <si>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</si>
  <si>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</si>
  <si>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</si>
  <si>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</si>
  <si>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</si>
  <si>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</si>
  <si>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</si>
  <si>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</si>
  <si>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</si>
  <si>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</si>
  <si>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</si>
  <si>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</si>
  <si>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</si>
  <si>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</si>
  <si>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</si>
  <si>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</si>
  <si>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</si>
  <si>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</si>
  <si>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</si>
  <si>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</si>
  <si>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</si>
  <si>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</si>
  <si>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</si>
  <si>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</si>
  <si>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</si>
  <si>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</si>
  <si>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</si>
  <si>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</si>
  <si>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</si>
  <si>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</si>
  <si>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</si>
  <si>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</si>
  <si>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</si>
  <si>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</si>
  <si>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</si>
  <si>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</si>
  <si>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</si>
  <si>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</si>
  <si>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</si>
  <si>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</si>
  <si>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</si>
  <si>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</si>
  <si>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</si>
  <si>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</si>
  <si>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</si>
  <si>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</si>
  <si>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</si>
  <si>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</si>
  <si>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</si>
  <si>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</si>
  <si>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</si>
  <si>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</si>
  <si>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</si>
  <si>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</si>
  <si>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</si>
  <si>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</si>
  <si>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</si>
  <si>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</si>
  <si>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</si>
  <si>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</si>
  <si>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</si>
  <si>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</si>
  <si>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</si>
  <si>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</si>
  <si>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</si>
  <si>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</si>
  <si>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</si>
  <si>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</si>
  <si>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</si>
  <si>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</si>
  <si>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</si>
  <si>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</si>
  <si>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</si>
  <si>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</si>
  <si>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</si>
  <si>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</si>
  <si>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</si>
  <si>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</si>
  <si>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</si>
  <si>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</si>
  <si>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</si>
  <si>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</si>
  <si>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</si>
  <si>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</si>
  <si>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</si>
  <si>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</si>
  <si>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</si>
  <si>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</si>
  <si>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</si>
  <si>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</si>
  <si>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</si>
  <si>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</si>
  <si>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</si>
  <si>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</si>
  <si>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</si>
  <si>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</si>
  <si>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</si>
  <si>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</si>
  <si>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</si>
  <si>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</si>
  <si>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</si>
  <si>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</si>
  <si>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</si>
  <si>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</si>
  <si>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</si>
  <si>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</si>
  <si>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</si>
  <si>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</si>
  <si>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</si>
  <si>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</si>
  <si>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</si>
  <si>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</si>
  <si>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</si>
  <si>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</si>
  <si>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</si>
  <si>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</si>
  <si>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</si>
  <si>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</si>
  <si>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</si>
  <si>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</si>
  <si>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</si>
  <si>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</si>
  <si>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</si>
  <si>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</si>
  <si>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</si>
  <si>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</si>
  <si>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</si>
  <si>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</si>
  <si>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</si>
  <si>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</si>
  <si>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</si>
  <si>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</si>
  <si>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</si>
  <si>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</si>
  <si>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</si>
  <si>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</si>
  <si>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</si>
  <si>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</si>
  <si>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</si>
  <si>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</si>
  <si>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</si>
  <si>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</si>
  <si>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</si>
  <si>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</si>
  <si>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</si>
  <si>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</si>
  <si>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</si>
  <si>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</si>
  <si>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</si>
  <si>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</si>
  <si>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</si>
  <si>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</si>
  <si>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</si>
  <si>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</si>
  <si>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</si>
  <si>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</si>
  <si>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</si>
  <si>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</si>
  <si>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</si>
  <si>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</si>
  <si>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</si>
  <si>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</si>
  <si>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</si>
  <si>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</si>
  <si>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</si>
  <si>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</si>
  <si>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</si>
  <si>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</si>
  <si>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</si>
  <si>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</si>
  <si>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</si>
  <si>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</si>
  <si>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</si>
  <si>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</si>
  <si>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</si>
  <si>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</si>
  <si>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</si>
  <si>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</si>
  <si>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</si>
  <si>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</si>
  <si>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</si>
  <si>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</si>
  <si>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</si>
  <si>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</si>
  <si>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</si>
  <si>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</si>
  <si>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</si>
  <si>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</si>
  <si>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</si>
  <si>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</si>
  <si>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</si>
  <si>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</si>
  <si>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</si>
  <si>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</si>
  <si>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</si>
  <si>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</si>
  <si>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</si>
  <si>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</si>
  <si>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</si>
  <si>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</si>
  <si>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</si>
  <si>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</si>
  <si>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</si>
  <si>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</si>
  <si>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</si>
  <si>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</si>
  <si>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</si>
  <si>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</si>
  <si>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</si>
  <si>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</si>
  <si>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</si>
  <si>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</si>
  <si>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</si>
  <si>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</si>
  <si>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</si>
  <si>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</si>
  <si>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</si>
  <si>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</si>
  <si>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</si>
  <si>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</si>
  <si>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</si>
  <si>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</si>
  <si>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</si>
  <si>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</si>
  <si>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</si>
  <si>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</si>
  <si>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</si>
  <si>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</si>
  <si>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</si>
  <si>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</si>
  <si>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</si>
  <si>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</si>
  <si>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</si>
  <si>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</si>
  <si>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</si>
  <si>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</si>
  <si>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</si>
  <si>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</si>
  <si>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</si>
  <si>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</si>
  <si>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</si>
  <si>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</si>
  <si>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</si>
  <si>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</si>
  <si>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</si>
  <si>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</si>
  <si>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</si>
  <si>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</si>
  <si>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</si>
  <si>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</si>
  <si>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</si>
  <si>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</si>
  <si>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</si>
  <si>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</si>
  <si>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</si>
  <si>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</si>
  <si>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</si>
  <si>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</si>
  <si>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</si>
  <si>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</si>
  <si>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</si>
  <si>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</si>
  <si>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</si>
  <si>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</si>
  <si>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</si>
  <si>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</si>
  <si>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</si>
  <si>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</si>
  <si>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</si>
  <si>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</si>
  <si>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</si>
  <si>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</si>
  <si>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</si>
  <si>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</si>
  <si>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</si>
  <si>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</si>
  <si>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</si>
  <si>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</si>
  <si>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</si>
  <si>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</si>
  <si>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</si>
  <si>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</si>
  <si>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</si>
  <si>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</si>
  <si>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</si>
  <si>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</si>
  <si>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</si>
  <si>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</si>
  <si>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</si>
  <si>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</si>
  <si>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</si>
  <si>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</si>
  <si>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</si>
  <si>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</si>
  <si>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</si>
  <si>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</si>
  <si>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</si>
  <si>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</si>
  <si>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</si>
  <si>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</si>
  <si>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</si>
  <si>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</si>
  <si>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</si>
  <si>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</si>
  <si>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</si>
  <si>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</si>
  <si>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</si>
  <si>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</si>
  <si>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</si>
  <si>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</si>
  <si>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</si>
  <si>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</si>
  <si>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</si>
  <si>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</si>
  <si>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</si>
  <si>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</si>
  <si>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</si>
  <si>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</si>
  <si>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</si>
  <si>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</si>
  <si>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</si>
  <si>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</si>
  <si>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</si>
  <si>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</si>
  <si>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</si>
  <si>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</si>
  <si>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</si>
  <si>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</si>
  <si>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</si>
  <si>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</si>
  <si>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</si>
  <si>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</si>
  <si>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</si>
  <si>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</si>
  <si>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</si>
  <si>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</si>
  <si>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</si>
  <si>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</si>
  <si>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</si>
  <si>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</si>
  <si>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</si>
  <si>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</si>
  <si>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</si>
  <si>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</si>
  <si>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</si>
  <si>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</si>
  <si>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</si>
  <si>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</si>
  <si>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</si>
  <si>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</si>
  <si>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</si>
  <si>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</si>
  <si>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</si>
  <si>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</si>
  <si>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</si>
  <si>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</si>
  <si>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</si>
  <si>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</si>
  <si>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</si>
  <si>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</si>
  <si>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</si>
  <si>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</si>
  <si>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</si>
  <si>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</si>
  <si>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</si>
  <si>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</si>
  <si>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</si>
  <si>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</si>
  <si>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</si>
  <si>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</si>
  <si>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</si>
  <si>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</si>
  <si>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</si>
  <si>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</si>
  <si>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</si>
  <si>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</si>
  <si>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</si>
  <si>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</si>
  <si>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</si>
  <si>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</si>
  <si>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</si>
  <si>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</si>
  <si>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</si>
  <si>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</si>
  <si>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</si>
  <si>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</si>
  <si>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</si>
  <si>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</si>
  <si>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</si>
  <si>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</si>
  <si>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</si>
  <si>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</si>
  <si>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</si>
  <si>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</si>
  <si>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</si>
  <si>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</si>
  <si>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</si>
  <si>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</si>
  <si>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</si>
  <si>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</si>
  <si>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</si>
  <si>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</si>
  <si>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</si>
  <si>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</si>
  <si>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</si>
  <si>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</si>
  <si>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</si>
  <si>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</si>
  <si>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</si>
  <si>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</si>
  <si>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</si>
  <si>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</si>
  <si>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</si>
  <si>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</si>
  <si>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</si>
  <si>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</si>
  <si>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</si>
  <si>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</si>
  <si>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</si>
  <si>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</si>
  <si>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</si>
  <si>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</si>
  <si>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</si>
  <si>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</si>
  <si>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</si>
  <si>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</si>
  <si>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</si>
  <si>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</si>
  <si>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</si>
  <si>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</si>
  <si>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</si>
  <si>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</si>
  <si>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</si>
  <si>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</si>
  <si>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</si>
  <si>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</si>
  <si>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</si>
  <si>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</si>
  <si>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</si>
  <si>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</si>
  <si>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</si>
  <si>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</si>
  <si>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</si>
  <si>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</si>
  <si>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</si>
  <si>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</si>
  <si>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</si>
  <si>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</si>
  <si>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</si>
  <si>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</si>
  <si>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</si>
  <si>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</si>
  <si>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</si>
  <si>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</si>
  <si>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</si>
  <si>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</si>
  <si>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</si>
  <si>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</si>
  <si>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</si>
  <si>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</si>
  <si>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</si>
  <si>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</si>
  <si>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</si>
  <si>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</si>
  <si>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</si>
  <si>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</si>
  <si>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</si>
  <si>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</si>
  <si>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</si>
  <si>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</si>
  <si>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</si>
  <si>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</si>
  <si>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</si>
  <si>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</si>
  <si>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</si>
  <si>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</si>
  <si>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</si>
  <si>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</si>
  <si>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</si>
  <si>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</si>
  <si>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</si>
  <si>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</si>
  <si>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</si>
  <si>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</si>
  <si>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</si>
  <si>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</si>
  <si>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</si>
  <si>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</si>
  <si>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</si>
  <si>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</si>
  <si>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</si>
  <si>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</si>
  <si>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</si>
  <si>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</si>
  <si>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</si>
  <si>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</si>
  <si>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</si>
  <si>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</si>
  <si>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</si>
  <si>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</si>
  <si>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</si>
  <si>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</si>
  <si>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</si>
  <si>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</si>
  <si>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</si>
  <si>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</si>
  <si>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</si>
  <si>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</si>
  <si>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</si>
  <si>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</si>
  <si>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</si>
  <si>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</si>
  <si>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</si>
  <si>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</si>
  <si>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</si>
  <si>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</si>
  <si>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</si>
  <si>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</si>
  <si>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</si>
  <si>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</si>
  <si>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</si>
  <si>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</si>
  <si>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</si>
  <si>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</si>
  <si>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</si>
  <si>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</si>
  <si>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</si>
  <si>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</si>
  <si>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</si>
  <si>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</si>
  <si>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</si>
  <si>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</si>
  <si>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</si>
  <si>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</si>
  <si>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</si>
  <si>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</si>
  <si>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</si>
  <si>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</si>
  <si>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</si>
  <si>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</si>
  <si>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</si>
  <si>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</si>
  <si>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</si>
  <si>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</si>
  <si>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</si>
  <si>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</si>
  <si>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</si>
  <si>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</si>
  <si>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</si>
  <si>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</si>
  <si>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</si>
  <si>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</si>
  <si>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</si>
  <si>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</si>
  <si>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</si>
  <si>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</si>
  <si>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</si>
  <si>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</si>
  <si>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</si>
  <si>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</si>
  <si>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</si>
  <si>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</si>
  <si>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</si>
  <si>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</si>
  <si>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</si>
  <si>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</si>
  <si>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</si>
  <si>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</si>
  <si>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</si>
  <si>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</si>
  <si>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</si>
  <si>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</si>
  <si>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</si>
  <si>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</si>
  <si>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</si>
  <si>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</si>
  <si>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</si>
  <si>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</si>
  <si>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</si>
  <si>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</si>
  <si>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</si>
  <si>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</si>
  <si>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</si>
  <si>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</si>
  <si>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</si>
  <si>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</si>
  <si>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</si>
  <si>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</si>
  <si>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</si>
  <si>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</si>
  <si>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</si>
  <si>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</si>
  <si>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</si>
  <si>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</si>
  <si>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</si>
  <si>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</si>
  <si>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</si>
  <si>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</si>
  <si>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</si>
  <si>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</si>
  <si>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</si>
  <si>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</si>
  <si>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</si>
  <si>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</si>
  <si>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</si>
  <si>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</si>
  <si>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</si>
  <si>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</si>
  <si>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</si>
  <si>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</si>
  <si>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</si>
  <si>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</si>
  <si>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</si>
  <si>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</si>
  <si>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</si>
  <si>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</si>
  <si>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</si>
  <si>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</si>
  <si>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</si>
  <si>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</si>
  <si>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</si>
  <si>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</si>
  <si>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</si>
  <si>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</si>
  <si>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</si>
  <si>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</si>
  <si>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</si>
  <si>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</si>
  <si>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</si>
  <si>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</si>
  <si>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</si>
  <si>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</si>
  <si>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</si>
  <si>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</si>
  <si>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</si>
  <si>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</si>
  <si>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</si>
  <si>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</si>
  <si>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</si>
  <si>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</si>
  <si>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</si>
  <si>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</si>
  <si>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</si>
  <si>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</si>
  <si>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</si>
  <si>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</si>
  <si>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</si>
  <si>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</si>
  <si>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</si>
  <si>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</si>
  <si>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</si>
  <si>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</si>
  <si>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</si>
  <si>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</si>
  <si>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</si>
  <si>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</si>
  <si>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</si>
  <si>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</si>
  <si>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</si>
  <si>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</si>
  <si>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</si>
  <si>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</si>
  <si>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</si>
  <si>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</si>
  <si>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</si>
  <si>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</si>
  <si>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</si>
  <si>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</si>
  <si>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</si>
  <si>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</si>
  <si>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</si>
  <si>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</si>
  <si>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</si>
  <si>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</si>
  <si>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</si>
  <si>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</si>
  <si>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</si>
  <si>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</si>
  <si>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</si>
  <si>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</si>
  <si>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</si>
  <si>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</si>
  <si>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</si>
  <si>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</si>
  <si>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</si>
  <si>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</si>
  <si>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</si>
  <si>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</si>
  <si>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</si>
  <si>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</si>
  <si>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</si>
  <si>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</si>
  <si>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</si>
  <si>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</si>
  <si>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</si>
  <si>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</si>
  <si>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</si>
  <si>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</si>
  <si>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</si>
  <si>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</si>
  <si>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</si>
  <si>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</si>
  <si>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</si>
  <si>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</si>
  <si>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</si>
  <si>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</si>
  <si>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</si>
  <si>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</si>
  <si>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</si>
  <si>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</si>
  <si>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</si>
  <si>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</si>
  <si>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</si>
  <si>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</si>
  <si>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</si>
  <si>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</si>
  <si>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</si>
  <si>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</si>
  <si>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</si>
  <si>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</si>
  <si>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</si>
  <si>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</si>
  <si>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</si>
  <si>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</si>
  <si>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</si>
  <si>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</si>
  <si>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</si>
  <si>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</si>
  <si>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</si>
  <si>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</si>
  <si>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</si>
  <si>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</si>
  <si>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</si>
  <si>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</si>
  <si>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</si>
  <si>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</si>
  <si>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</si>
  <si>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</si>
  <si>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</si>
  <si>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</si>
  <si>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</si>
  <si>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</si>
  <si>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</si>
  <si>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</si>
  <si>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</si>
  <si>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</si>
  <si>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</si>
  <si>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</si>
  <si>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</si>
  <si>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</si>
  <si>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</si>
  <si>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</si>
  <si>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</si>
  <si>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</si>
  <si>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</si>
  <si>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</si>
  <si>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</si>
  <si>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</si>
  <si>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</si>
  <si>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</si>
  <si>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</si>
  <si>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</si>
  <si>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</si>
  <si>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</si>
  <si>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</si>
  <si>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</si>
  <si>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</si>
  <si>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</si>
  <si>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</si>
  <si>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</si>
  <si>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</si>
  <si>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</si>
  <si>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</si>
  <si>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</si>
  <si>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</si>
  <si>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</si>
  <si>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</si>
  <si>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</si>
  <si>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</si>
  <si>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</si>
  <si>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</si>
  <si>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</si>
  <si>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</si>
  <si>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</si>
  <si>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</si>
  <si>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</si>
  <si>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</si>
  <si>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</si>
  <si>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</si>
  <si>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</si>
  <si>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</si>
  <si>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</si>
  <si>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</si>
  <si>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</si>
  <si>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</si>
  <si>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</si>
  <si>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</si>
  <si>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</si>
  <si>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</si>
  <si>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</si>
  <si>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</si>
  <si>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</si>
  <si>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</si>
  <si>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</si>
  <si>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</si>
  <si>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</si>
  <si>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</si>
  <si>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</si>
  <si>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</si>
  <si>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</si>
  <si>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</si>
  <si>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</si>
  <si>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</si>
  <si>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</si>
  <si>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</si>
  <si>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</si>
  <si>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</si>
  <si>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</si>
  <si>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</si>
  <si>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</si>
  <si>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</si>
  <si>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</si>
  <si>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</si>
  <si>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</si>
  <si>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</si>
  <si>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</si>
  <si>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</si>
  <si>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</si>
  <si>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</si>
  <si>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</si>
  <si>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</si>
  <si>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</si>
  <si>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</si>
  <si>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</si>
  <si>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</si>
  <si>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</si>
  <si>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</si>
  <si>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</si>
  <si>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</si>
  <si>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</si>
  <si>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</si>
  <si>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</si>
  <si>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</si>
  <si>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</si>
  <si>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</si>
  <si>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</si>
  <si>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</si>
  <si>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</si>
  <si>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</si>
  <si>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</si>
  <si>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</si>
  <si>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</si>
  <si>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</si>
  <si>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</si>
  <si>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</si>
  <si>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</si>
  <si>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</si>
  <si>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</si>
  <si>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</si>
  <si>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</si>
  <si>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</si>
  <si>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</si>
  <si>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</si>
  <si>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</si>
  <si>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</si>
  <si>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</si>
  <si>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</si>
  <si>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</si>
  <si>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</si>
  <si>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</si>
  <si>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</si>
  <si>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</si>
  <si>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</si>
  <si>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</si>
  <si>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</si>
  <si>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</si>
  <si>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</si>
  <si>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</si>
  <si>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</si>
  <si>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</si>
  <si>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</si>
  <si>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</si>
  <si>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</si>
  <si>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</si>
  <si>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</si>
  <si>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</si>
  <si>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</si>
  <si>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</si>
  <si>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</si>
  <si>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</si>
  <si>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</si>
  <si>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</si>
  <si>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</si>
  <si>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</si>
  <si>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</si>
  <si>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</si>
  <si>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</si>
  <si>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</si>
  <si>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</si>
  <si>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</si>
  <si>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</si>
  <si>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</si>
  <si>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</si>
  <si>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</si>
  <si>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</si>
  <si>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</si>
  <si>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</si>
  <si>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</si>
  <si>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</si>
  <si>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</si>
  <si>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</si>
  <si>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</si>
  <si>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</si>
  <si>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</si>
  <si>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</si>
  <si>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</si>
  <si>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</si>
  <si>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</si>
  <si>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</si>
  <si>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</si>
  <si>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</si>
  <si>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</si>
  <si>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</si>
  <si>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</si>
  <si>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</si>
  <si>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</si>
  <si>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</si>
  <si>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</si>
  <si>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</si>
  <si>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</si>
  <si>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</si>
  <si>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</si>
  <si>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</si>
  <si>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</si>
  <si>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</si>
  <si>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</si>
  <si>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</si>
  <si>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</si>
  <si>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</si>
  <si>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</si>
  <si>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</si>
  <si>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</si>
  <si>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</si>
  <si>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</si>
  <si>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</si>
  <si>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</si>
  <si>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</si>
  <si>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</si>
  <si>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</si>
  <si>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</si>
  <si>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</si>
  <si>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</si>
  <si>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</si>
  <si>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</si>
  <si>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</si>
  <si>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</si>
  <si>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</si>
  <si>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</si>
  <si>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</si>
  <si>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</si>
  <si>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</si>
  <si>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</si>
  <si>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</si>
  <si>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</si>
  <si>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</si>
  <si>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</si>
  <si>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</si>
  <si>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</si>
  <si>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</si>
  <si>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</si>
  <si>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</si>
  <si>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</si>
  <si>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</si>
  <si>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</si>
  <si>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</si>
  <si>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</si>
  <si>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</si>
  <si>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</si>
  <si>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</si>
  <si>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</si>
  <si>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</si>
  <si>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</si>
  <si>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</si>
  <si>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</si>
  <si>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</si>
  <si>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</si>
  <si>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</si>
  <si>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</si>
  <si>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</si>
  <si>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</si>
  <si>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</si>
  <si>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</si>
  <si>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</si>
  <si>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</si>
  <si>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</si>
  <si>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</si>
  <si>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</si>
  <si>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</si>
  <si>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</si>
  <si>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</si>
  <si>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</si>
  <si>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</si>
  <si>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</si>
  <si>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</si>
  <si>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</si>
  <si>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</si>
  <si>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</si>
  <si>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</si>
  <si>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</si>
  <si>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</si>
  <si>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</si>
  <si>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</si>
  <si>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</si>
  <si>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</si>
  <si>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</si>
  <si>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</si>
  <si>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</si>
  <si>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</si>
  <si>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</si>
  <si>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</si>
  <si>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</si>
  <si>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</si>
  <si>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</si>
  <si>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</si>
  <si>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</si>
  <si>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</si>
  <si>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</si>
  <si>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</si>
  <si>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</si>
  <si>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</si>
  <si>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</si>
  <si>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</si>
  <si>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</si>
  <si>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</si>
  <si>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</si>
  <si>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</si>
  <si>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</si>
  <si>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</si>
  <si>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</si>
  <si>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</si>
  <si>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</si>
  <si>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</si>
  <si>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</si>
  <si>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</si>
  <si>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</si>
  <si>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</si>
  <si>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</si>
  <si>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</si>
  <si>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</si>
  <si>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</si>
  <si>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</si>
  <si>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</si>
  <si>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</si>
  <si>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</si>
  <si>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</si>
  <si>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</si>
  <si>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</si>
  <si>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</si>
  <si>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</si>
  <si>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</si>
  <si>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</si>
  <si>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</si>
  <si>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</si>
  <si>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</si>
  <si>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</si>
  <si>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</si>
  <si>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</si>
  <si>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</si>
  <si>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</si>
  <si>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</si>
  <si>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</si>
  <si>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</si>
  <si>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</si>
  <si>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</si>
  <si>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</si>
  <si>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</si>
  <si>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</si>
  <si>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</si>
  <si>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</si>
  <si>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</si>
  <si>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</si>
  <si>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</si>
  <si>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</si>
  <si>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</si>
  <si>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</si>
  <si>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</si>
  <si>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</si>
  <si>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</si>
  <si>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</si>
  <si>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</si>
  <si>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</si>
  <si>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</si>
  <si>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</si>
  <si>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</si>
  <si>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</si>
  <si>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</si>
  <si>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</si>
  <si>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</si>
  <si>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</si>
  <si>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</si>
  <si>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</si>
  <si>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</si>
  <si>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</si>
  <si>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</si>
  <si>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</si>
  <si>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</si>
  <si>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</si>
  <si>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</si>
  <si>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</si>
  <si>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</si>
  <si>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</si>
  <si>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</si>
  <si>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</si>
  <si>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</si>
  <si>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</si>
  <si>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</si>
  <si>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</si>
  <si>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</si>
  <si>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</si>
  <si>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</si>
  <si>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</si>
  <si>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</si>
  <si>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</si>
  <si>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</si>
  <si>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</si>
  <si>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</si>
  <si>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</si>
  <si>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</si>
  <si>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</si>
  <si>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</si>
  <si>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</si>
  <si>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</si>
  <si>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</si>
  <si>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</si>
  <si>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</si>
  <si>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</si>
  <si>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</si>
  <si>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</si>
  <si>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</si>
  <si>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</si>
  <si>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</si>
  <si>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</si>
  <si>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</si>
  <si>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</si>
  <si>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</si>
  <si>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</si>
  <si>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</si>
  <si>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</si>
  <si>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</si>
  <si>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</si>
  <si>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</si>
  <si>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</si>
  <si>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</si>
  <si>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</si>
  <si>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</si>
  <si>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</si>
  <si>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</si>
  <si>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</si>
  <si>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</si>
  <si>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</si>
  <si>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</si>
  <si>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</si>
  <si>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</si>
  <si>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</si>
  <si>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</si>
  <si>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</si>
  <si>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</si>
  <si>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</si>
  <si>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</si>
  <si>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</si>
  <si>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</si>
  <si>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</si>
  <si>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</si>
  <si>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</si>
  <si>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</si>
  <si>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</si>
  <si>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</si>
  <si>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</si>
  <si>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</si>
  <si>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</si>
  <si>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</si>
  <si>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</si>
  <si>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</si>
  <si>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</si>
  <si>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</si>
  <si>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</si>
  <si>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</si>
  <si>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</si>
  <si>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</si>
  <si>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</si>
  <si>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</si>
  <si>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</si>
  <si>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</si>
  <si>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</si>
  <si>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</si>
  <si>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</si>
  <si>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</si>
  <si>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</si>
  <si>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</si>
  <si>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</si>
  <si>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</si>
  <si>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</si>
  <si>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</si>
  <si>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</si>
  <si>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</si>
  <si>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</si>
  <si>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</si>
  <si>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</si>
  <si>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</si>
  <si>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</si>
  <si>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</si>
  <si>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</si>
  <si>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</si>
  <si>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</si>
  <si>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</si>
  <si>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</si>
  <si>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</si>
  <si>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</si>
  <si>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</si>
  <si>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</si>
  <si>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</si>
  <si>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</si>
  <si>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</si>
  <si>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</si>
  <si>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</si>
  <si>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</si>
  <si>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</si>
  <si>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</si>
  <si>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</si>
  <si>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</si>
  <si>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</si>
  <si>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</si>
  <si>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</si>
  <si>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</si>
  <si>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</si>
  <si>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</si>
  <si>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</si>
  <si>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</si>
  <si>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</si>
  <si>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</si>
  <si>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</si>
  <si>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</si>
  <si>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</si>
  <si>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</si>
  <si>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</si>
  <si>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</si>
  <si>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</si>
  <si>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</si>
  <si>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</si>
  <si>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</si>
  <si>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</si>
  <si>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</si>
  <si>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</si>
  <si>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</si>
  <si>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</si>
  <si>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</si>
  <si>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</si>
  <si>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</si>
  <si>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</si>
  <si>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</si>
  <si>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</si>
  <si>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</si>
  <si>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</si>
  <si>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</si>
  <si>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</si>
  <si>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</si>
  <si>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</si>
  <si>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</si>
  <si>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</si>
  <si>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</si>
  <si>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</si>
  <si>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</si>
  <si>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</si>
  <si>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</si>
  <si>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</si>
  <si>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</si>
  <si>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</si>
  <si>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</si>
  <si>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</si>
  <si>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</si>
  <si>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</si>
  <si>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</si>
  <si>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</si>
  <si>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</si>
  <si>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</si>
  <si>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</si>
  <si>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</si>
  <si>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</si>
  <si>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</si>
  <si>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</si>
  <si>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</si>
  <si>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</si>
  <si>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</si>
  <si>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</si>
  <si>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</si>
  <si>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</si>
  <si>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</si>
  <si>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</si>
  <si>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</si>
  <si>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</si>
  <si>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</si>
  <si>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</si>
  <si>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</si>
  <si>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</si>
  <si>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</si>
  <si>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</si>
  <si>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</si>
  <si>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</si>
  <si>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</si>
  <si>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</si>
  <si>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</si>
  <si>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</si>
  <si>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</si>
  <si>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</si>
  <si>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</si>
  <si>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</si>
  <si>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</si>
  <si>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</si>
  <si>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</si>
  <si>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</si>
  <si>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</si>
  <si>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</si>
  <si>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</si>
  <si>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</si>
  <si>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</si>
  <si>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</si>
  <si>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</si>
  <si>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</si>
  <si>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</si>
  <si>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</si>
  <si>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</si>
  <si>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</si>
  <si>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</si>
  <si>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</si>
  <si>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</si>
  <si>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</si>
  <si>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</si>
  <si>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</si>
  <si>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</si>
  <si>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</si>
  <si>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</si>
  <si>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</si>
  <si>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</si>
  <si>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</si>
  <si>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</si>
  <si>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</si>
  <si>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</si>
  <si>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</si>
  <si>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</si>
  <si>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</si>
  <si>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</si>
  <si>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</si>
  <si>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</si>
  <si>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</si>
  <si>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</si>
  <si>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</si>
  <si>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</si>
  <si>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</si>
  <si>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</si>
  <si>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</si>
  <si>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</si>
  <si>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</si>
  <si>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</si>
  <si>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</si>
  <si>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</si>
  <si>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</si>
  <si>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</si>
  <si>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</si>
  <si>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</si>
  <si>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</si>
  <si>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</si>
  <si>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</si>
  <si>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</si>
  <si>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</si>
  <si>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</si>
  <si>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</si>
  <si>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</si>
  <si>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</si>
  <si>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</si>
  <si>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</si>
  <si>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</si>
  <si>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</si>
  <si>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</si>
  <si>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</si>
  <si>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</si>
  <si>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</si>
  <si>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</si>
  <si>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</si>
  <si>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</si>
  <si>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</si>
  <si>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</si>
  <si>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</si>
  <si>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</si>
  <si>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</si>
  <si>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</si>
  <si>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</si>
  <si>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</si>
  <si>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</si>
  <si>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</si>
  <si>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</si>
  <si>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</si>
  <si>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</si>
  <si>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</si>
  <si>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</si>
  <si>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</si>
  <si>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</si>
  <si>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</si>
  <si>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</si>
  <si>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</si>
  <si>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</si>
  <si>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</si>
  <si>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</si>
  <si>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</si>
  <si>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</si>
  <si>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</si>
  <si>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</si>
  <si>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</si>
  <si>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</si>
  <si>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</si>
  <si>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</si>
  <si>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</si>
  <si>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</si>
  <si>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</si>
  <si>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</si>
  <si>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</si>
  <si>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</si>
  <si>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</si>
  <si>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</si>
  <si>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</si>
  <si>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</si>
  <si>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</si>
  <si>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</si>
  <si>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</si>
  <si>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</si>
  <si>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</si>
  <si>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</si>
  <si>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</si>
  <si>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</si>
  <si>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</si>
  <si>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</si>
  <si>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</si>
  <si>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</si>
  <si>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</si>
  <si>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</si>
  <si>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</si>
  <si>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</si>
  <si>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</si>
  <si>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</si>
  <si>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</si>
  <si>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</si>
  <si>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</si>
  <si>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</si>
  <si>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</si>
  <si>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</si>
  <si>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</si>
  <si>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</si>
  <si>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</si>
  <si>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</si>
  <si>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</si>
  <si>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</si>
  <si>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</si>
  <si>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</si>
  <si>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</si>
  <si>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</si>
  <si>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</si>
  <si>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</si>
  <si>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</si>
  <si>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</si>
  <si>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</si>
  <si>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</si>
  <si>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</si>
  <si>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</si>
  <si>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</si>
  <si>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</si>
  <si>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</si>
  <si>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</si>
  <si>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</si>
  <si>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</si>
  <si>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</si>
  <si>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</si>
  <si>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</si>
  <si>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</si>
  <si>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</si>
  <si>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</si>
  <si>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</si>
  <si>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</si>
  <si>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</si>
  <si>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</si>
  <si>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</si>
  <si>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</si>
  <si>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</si>
  <si>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</si>
  <si>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</si>
  <si>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</si>
  <si>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</si>
  <si>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</si>
  <si>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</si>
  <si>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</si>
  <si>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</si>
  <si>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</si>
  <si>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</si>
  <si>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</si>
  <si>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</si>
  <si>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</si>
  <si>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</si>
  <si>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</si>
  <si>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</si>
  <si>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</si>
  <si>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</si>
  <si>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</si>
  <si>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</si>
  <si>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</si>
  <si>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</si>
  <si>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</si>
  <si>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</si>
  <si>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</si>
  <si>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</si>
  <si>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</si>
  <si>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</si>
  <si>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</si>
  <si>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</si>
  <si>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</si>
  <si>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</si>
  <si>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</si>
  <si>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</si>
  <si>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</si>
  <si>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</si>
  <si>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</si>
  <si>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</si>
  <si>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</si>
  <si>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</si>
  <si>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</si>
  <si>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</si>
  <si>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</si>
  <si>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</si>
  <si>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</si>
  <si>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</si>
  <si>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</si>
  <si>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</si>
  <si>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</si>
  <si>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</si>
  <si>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</si>
  <si>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</si>
  <si>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</si>
  <si>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</si>
  <si>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</si>
  <si>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</si>
  <si>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</si>
  <si>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</si>
  <si>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</si>
  <si>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</si>
  <si>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</si>
  <si>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</si>
  <si>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</si>
  <si>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</si>
  <si>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</si>
  <si>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</si>
  <si>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</si>
  <si>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</si>
  <si>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</si>
  <si>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</si>
  <si>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</si>
  <si>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</si>
  <si>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</si>
  <si>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</si>
  <si>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</si>
  <si>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</si>
  <si>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</si>
  <si>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</si>
  <si>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</si>
  <si>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</si>
  <si>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</si>
  <si>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</si>
  <si>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</si>
  <si>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</si>
  <si>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</si>
  <si>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</si>
  <si>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</si>
  <si>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</si>
  <si>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</si>
  <si>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</si>
  <si>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</si>
  <si>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</si>
  <si>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</si>
  <si>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</si>
  <si>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</si>
  <si>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</si>
  <si>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</si>
  <si>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</si>
  <si>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</si>
  <si>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</si>
  <si>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</si>
  <si>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</si>
  <si>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</si>
  <si>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</si>
  <si>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</si>
  <si>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</si>
  <si>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</si>
  <si>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</si>
  <si>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</si>
  <si>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</si>
  <si>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</si>
  <si>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</si>
  <si>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</si>
  <si>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</si>
  <si>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</si>
  <si>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</si>
  <si>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</si>
  <si>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</si>
  <si>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</si>
  <si>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</si>
  <si>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</si>
  <si>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</si>
  <si>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</si>
  <si>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</si>
  <si>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</si>
  <si>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</si>
  <si>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</si>
  <si>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</si>
  <si>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</si>
  <si>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</si>
  <si>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</si>
  <si>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</si>
  <si>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</si>
  <si>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</si>
  <si>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</si>
  <si>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</si>
  <si>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</si>
  <si>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</si>
  <si>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</si>
  <si>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</si>
  <si>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</si>
  <si>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</si>
  <si>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</si>
  <si>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</si>
  <si>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</si>
  <si>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</si>
  <si>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</si>
  <si>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</si>
  <si>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</si>
  <si>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</si>
  <si>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</si>
  <si>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</si>
  <si>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</si>
  <si>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</si>
  <si>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</si>
  <si>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</si>
  <si>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</si>
  <si>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</si>
  <si>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</si>
  <si>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</si>
  <si>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</si>
  <si>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</si>
  <si>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</si>
  <si>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</si>
  <si>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</si>
  <si>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</si>
  <si>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</si>
  <si>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</si>
  <si>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</si>
  <si>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</si>
  <si>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</si>
  <si>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</si>
  <si>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</si>
  <si>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</si>
  <si>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</si>
  <si>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</si>
  <si>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</si>
  <si>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</si>
  <si>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</si>
  <si>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</si>
  <si>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</si>
  <si>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</si>
  <si>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</si>
  <si>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</si>
  <si>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</si>
  <si>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</si>
  <si>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</si>
  <si>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</si>
  <si>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</si>
  <si>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</si>
  <si>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</si>
  <si>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</si>
  <si>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</si>
  <si>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</si>
  <si>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</si>
  <si>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</si>
  <si>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</si>
  <si>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</si>
  <si>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</si>
  <si>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</si>
  <si>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</si>
  <si>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</si>
  <si>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</si>
  <si>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</si>
  <si>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</si>
  <si>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</si>
  <si>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</si>
  <si>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</si>
  <si>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</si>
  <si>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</si>
  <si>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</si>
  <si>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</si>
  <si>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</si>
  <si>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</si>
  <si>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</si>
  <si>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</si>
  <si>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</si>
  <si>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</si>
  <si>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</si>
  <si>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</si>
  <si>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</si>
  <si>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</si>
  <si>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</si>
  <si>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</si>
  <si>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</si>
  <si>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</si>
  <si>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</si>
  <si>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</si>
  <si>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</si>
  <si>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</si>
  <si>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</si>
  <si>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</si>
  <si>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</si>
  <si>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</si>
  <si>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</si>
  <si>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</si>
  <si>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</si>
  <si>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</si>
  <si>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</si>
  <si>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</si>
  <si>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</si>
  <si>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</si>
  <si>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</si>
  <si>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</si>
  <si>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</si>
  <si>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</si>
  <si>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</si>
  <si>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</si>
  <si>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</si>
  <si>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</si>
  <si>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</si>
  <si>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</si>
  <si>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</si>
  <si>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</si>
  <si>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</si>
  <si>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</si>
  <si>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</si>
  <si>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</si>
  <si>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</si>
  <si>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</si>
  <si>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</si>
  <si>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</si>
  <si>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</si>
  <si>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</si>
  <si>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</si>
  <si>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</si>
  <si>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</si>
  <si>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</si>
  <si>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</si>
  <si>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</si>
  <si>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</si>
  <si>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</si>
  <si>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</si>
  <si>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</si>
  <si>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</si>
  <si>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</si>
  <si>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</si>
  <si>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</si>
  <si>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</si>
  <si>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</si>
  <si>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</si>
  <si>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</si>
  <si>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</si>
  <si>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</si>
  <si>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</si>
  <si>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</si>
  <si>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</si>
  <si>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</si>
  <si>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</si>
  <si>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</si>
  <si>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</si>
  <si>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</si>
  <si>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</si>
  <si>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</si>
  <si>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</si>
  <si>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</si>
  <si>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</si>
  <si>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</si>
  <si>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</si>
  <si>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</si>
  <si>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</si>
  <si>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</si>
  <si>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</si>
  <si>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</si>
  <si>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</si>
  <si>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</si>
  <si>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</si>
  <si>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</si>
  <si>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</si>
  <si>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</si>
  <si>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</si>
  <si>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</si>
  <si>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</si>
  <si>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</si>
  <si>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</si>
  <si>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</si>
  <si>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</si>
  <si>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</si>
  <si>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</si>
  <si>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</si>
  <si>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</si>
  <si>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</si>
  <si>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</si>
  <si>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</si>
  <si>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</si>
  <si>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</si>
  <si>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</si>
  <si>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</si>
  <si>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</si>
  <si>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</si>
  <si>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</si>
  <si>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</si>
  <si>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</si>
  <si>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</si>
  <si>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</si>
  <si>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</si>
  <si>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</si>
  <si>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</si>
  <si>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</si>
  <si>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</si>
  <si>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</si>
  <si>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</si>
  <si>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</si>
  <si>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</si>
  <si>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</si>
  <si>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</si>
  <si>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</si>
  <si>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</si>
  <si>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</si>
  <si>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</si>
  <si>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</si>
  <si>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</si>
  <si>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</si>
  <si>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</si>
  <si>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</si>
  <si>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</si>
  <si>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</si>
  <si>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</si>
  <si>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</si>
  <si>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</si>
  <si>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</si>
  <si>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</si>
  <si>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</si>
  <si>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</si>
  <si>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</si>
  <si>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</si>
  <si>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</si>
  <si>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</si>
  <si>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</si>
  <si>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</si>
  <si>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</si>
  <si>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</si>
  <si>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</si>
  <si>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</si>
  <si>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</si>
  <si>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</si>
  <si>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</si>
  <si>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</si>
  <si>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</si>
  <si>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</si>
  <si>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</si>
  <si>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</si>
  <si>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</si>
  <si>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</si>
  <si>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</si>
  <si>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</si>
  <si>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</si>
  <si>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</si>
  <si>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</si>
  <si>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</si>
  <si>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</si>
  <si>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</si>
  <si>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</si>
  <si>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</si>
  <si>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</si>
  <si>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</si>
  <si>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</si>
  <si>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</si>
  <si>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</si>
  <si>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</si>
  <si>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</si>
  <si>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</si>
  <si>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</si>
  <si>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</si>
  <si>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</si>
  <si>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</si>
  <si>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</si>
  <si>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</si>
  <si>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</si>
  <si>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</si>
  <si>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</si>
  <si>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</si>
  <si>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</si>
  <si>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</si>
  <si>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</si>
  <si>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</si>
  <si>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</si>
  <si>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</si>
  <si>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</si>
  <si>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</si>
  <si>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</si>
  <si>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</si>
  <si>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</si>
  <si>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</si>
  <si>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</si>
  <si>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</si>
  <si>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</si>
  <si>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</si>
  <si>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</si>
  <si>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</si>
  <si>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</si>
  <si>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</si>
  <si>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</si>
  <si>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</si>
  <si>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</si>
  <si>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</si>
  <si>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</si>
  <si>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</si>
  <si>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</si>
  <si>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</si>
  <si>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</si>
  <si>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</si>
  <si>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</si>
  <si>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</si>
  <si>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</si>
  <si>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</si>
  <si>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</si>
  <si>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</si>
  <si>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</si>
  <si>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</si>
  <si>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</si>
  <si>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</si>
  <si>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</si>
  <si>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</si>
  <si>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</si>
  <si>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</si>
  <si>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</si>
  <si>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</si>
  <si>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</si>
  <si>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</si>
  <si>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</si>
  <si>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</si>
  <si>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</si>
  <si>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</si>
  <si>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</si>
  <si>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</si>
  <si>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</si>
  <si>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</si>
  <si>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</si>
  <si>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</si>
  <si>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</si>
  <si>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</si>
  <si>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</si>
  <si>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</si>
  <si>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</si>
  <si>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</si>
  <si>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</si>
  <si>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</si>
  <si>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</si>
  <si>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</si>
  <si>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</si>
  <si>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</si>
  <si>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</si>
  <si>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</si>
  <si>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</si>
  <si>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</si>
  <si>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</si>
  <si>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</si>
  <si>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</si>
  <si>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</si>
  <si>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</si>
  <si>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</si>
  <si>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</si>
  <si>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</si>
  <si>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</si>
  <si>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</si>
  <si>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</si>
  <si>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</si>
  <si>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</si>
  <si>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</si>
  <si>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</si>
  <si>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</si>
  <si>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</si>
  <si>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</si>
  <si>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</si>
  <si>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</si>
  <si>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</si>
  <si>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</si>
  <si>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</si>
  <si>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</si>
  <si>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</si>
  <si>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</si>
  <si>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</si>
  <si>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</si>
  <si>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</si>
  <si>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</si>
  <si>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</si>
  <si>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</si>
  <si>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</si>
  <si>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</si>
  <si>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</si>
  <si>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</si>
  <si>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</si>
  <si>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</si>
  <si>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</si>
  <si>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</si>
  <si>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</si>
  <si>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</si>
  <si>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</si>
  <si>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</si>
  <si>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</si>
  <si>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</si>
  <si>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</si>
  <si>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</si>
  <si>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</si>
  <si>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</si>
  <si>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</si>
  <si>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</si>
  <si>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</si>
  <si>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</si>
  <si>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</si>
  <si>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</si>
  <si>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</si>
  <si>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</si>
  <si>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</si>
  <si>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</si>
  <si>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</si>
  <si>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</si>
  <si>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</si>
  <si>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</si>
  <si>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</si>
  <si>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</si>
  <si>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</si>
  <si>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</si>
  <si>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</si>
  <si>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</si>
  <si>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</si>
  <si>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</si>
  <si>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</si>
  <si>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</si>
  <si>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</si>
  <si>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</si>
  <si>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</si>
  <si>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</si>
  <si>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</si>
  <si>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</si>
  <si>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</si>
  <si>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</si>
  <si>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</si>
  <si>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</si>
  <si>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</si>
  <si>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</si>
  <si>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</si>
  <si>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</si>
  <si>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</si>
  <si>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</si>
  <si>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</si>
  <si>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</si>
  <si>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</si>
  <si>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</si>
  <si>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</si>
  <si>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</si>
  <si>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</si>
  <si>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</si>
  <si>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</si>
  <si>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</si>
  <si>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</si>
  <si>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</si>
  <si>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</si>
  <si>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</si>
  <si>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</si>
  <si>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</si>
  <si>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</si>
  <si>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</si>
  <si>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</si>
  <si>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</si>
  <si>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</si>
  <si>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</si>
  <si>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</si>
  <si>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</si>
  <si>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</si>
  <si>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</si>
  <si>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</si>
  <si>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</si>
  <si>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</si>
  <si>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</si>
  <si>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</si>
  <si>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</si>
  <si>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</si>
  <si>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</si>
  <si>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</si>
  <si>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</si>
  <si>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</si>
  <si>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</si>
  <si>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</si>
  <si>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</si>
  <si>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</si>
  <si>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</si>
  <si>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</si>
  <si>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</si>
  <si>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</si>
  <si>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</si>
  <si>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</si>
  <si>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</si>
  <si>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</si>
  <si>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</si>
  <si>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</si>
  <si>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</si>
  <si>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</si>
  <si>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</si>
  <si>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</si>
  <si>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</si>
  <si>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</si>
  <si>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</si>
  <si>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</si>
  <si>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</si>
  <si>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</si>
  <si>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</si>
  <si>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</si>
  <si>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</si>
  <si>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</si>
  <si>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</si>
  <si>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</si>
  <si>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</si>
  <si>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</si>
  <si>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</si>
  <si>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</si>
  <si>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</si>
  <si>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</si>
  <si>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</si>
  <si>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</si>
  <si>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</si>
  <si>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</si>
  <si>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</si>
  <si>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</si>
  <si>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</si>
  <si>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</si>
  <si>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</si>
  <si>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</si>
  <si>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</si>
  <si>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</si>
  <si>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</si>
  <si>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</si>
  <si>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</si>
  <si>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</si>
  <si>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</si>
  <si>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</si>
  <si>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</si>
  <si>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</si>
  <si>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</si>
  <si>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</si>
  <si>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</si>
  <si>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</si>
  <si>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</si>
  <si>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</si>
  <si>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</si>
  <si>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</si>
  <si>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</si>
  <si>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</si>
  <si>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</si>
  <si>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</si>
  <si>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</si>
  <si>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</si>
  <si>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</si>
  <si>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</si>
  <si>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</si>
  <si>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</si>
  <si>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</si>
  <si>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</si>
  <si>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</si>
  <si>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</si>
  <si>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</si>
  <si>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</si>
  <si>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</si>
  <si>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</si>
  <si>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</si>
  <si>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</si>
  <si>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</si>
  <si>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</si>
  <si>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</si>
  <si>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</si>
  <si>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</si>
  <si>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</si>
  <si>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</si>
  <si>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</si>
  <si>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</si>
  <si>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</si>
  <si>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</si>
  <si>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</si>
  <si>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</si>
  <si>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</si>
  <si>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</si>
  <si>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</si>
  <si>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</si>
  <si>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</si>
  <si>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</si>
  <si>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</si>
  <si>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</si>
  <si>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</si>
  <si>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</si>
  <si>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</si>
  <si>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</si>
  <si>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</si>
  <si>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</si>
  <si>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</si>
  <si>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</si>
  <si>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</si>
  <si>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</si>
  <si>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</si>
  <si>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</si>
  <si>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</si>
  <si>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</si>
  <si>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</si>
  <si>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</si>
  <si>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</si>
  <si>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</si>
  <si>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</si>
  <si>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</si>
  <si>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</si>
  <si>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</si>
  <si>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</si>
  <si>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</si>
  <si>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</si>
  <si>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</si>
  <si>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</si>
  <si>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</si>
  <si>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</si>
  <si>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</si>
  <si>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</si>
  <si>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</si>
  <si>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</si>
  <si>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</si>
  <si>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</si>
  <si>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</si>
  <si>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</si>
  <si>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</si>
  <si>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</si>
  <si>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</si>
  <si>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</si>
  <si>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</si>
  <si>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</si>
  <si>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</si>
  <si>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</si>
  <si>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</si>
  <si>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</si>
  <si>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</si>
  <si>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</si>
  <si>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</si>
  <si>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</si>
  <si>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</si>
  <si>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</si>
  <si>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</si>
  <si>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</si>
  <si>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</si>
  <si>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</si>
  <si>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</si>
  <si>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</si>
  <si>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</si>
  <si>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</si>
  <si>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</si>
  <si>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</si>
  <si>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</si>
  <si>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</si>
  <si>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</si>
  <si>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</si>
  <si>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</si>
  <si>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</si>
  <si>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</si>
  <si>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</si>
  <si>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</si>
  <si>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</si>
  <si>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</si>
  <si>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</si>
  <si>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</si>
  <si>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</si>
  <si>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</si>
  <si>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</si>
  <si>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</si>
  <si>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</si>
  <si>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</si>
  <si>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</si>
  <si>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</si>
  <si>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</si>
  <si>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</si>
  <si>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</si>
  <si>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</si>
  <si>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</si>
  <si>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</si>
  <si>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</si>
  <si>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</si>
  <si>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</si>
  <si>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</si>
  <si>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</si>
  <si>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</si>
  <si>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</si>
  <si>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</si>
  <si>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</si>
  <si>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</si>
  <si>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</si>
  <si>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</si>
  <si>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</si>
  <si>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</si>
  <si>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</si>
  <si>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</si>
  <si>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</si>
  <si>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</si>
  <si>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</si>
  <si>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</si>
  <si>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</si>
  <si>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</si>
  <si>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</si>
  <si>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</si>
  <si>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</si>
  <si>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</si>
  <si>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</si>
  <si>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</si>
  <si>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</si>
  <si>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</si>
  <si>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</si>
  <si>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</si>
  <si>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</si>
  <si>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</si>
  <si>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</si>
  <si>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</si>
  <si>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</si>
  <si>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</si>
  <si>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</si>
  <si>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</si>
  <si>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</si>
  <si>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</si>
  <si>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</si>
  <si>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</si>
  <si>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</si>
  <si>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</si>
  <si>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</si>
  <si>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</si>
  <si>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</si>
  <si>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</si>
  <si>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</si>
  <si>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</si>
  <si>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</si>
  <si>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</si>
  <si>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</si>
  <si>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</si>
  <si>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</si>
  <si>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</si>
  <si>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</si>
  <si>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</si>
  <si>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</si>
  <si>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</si>
  <si>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</si>
  <si>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</si>
  <si>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</si>
  <si>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</si>
  <si>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</si>
  <si>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</si>
  <si>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</si>
  <si>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</si>
  <si>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</si>
  <si>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</si>
  <si>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</si>
  <si>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</si>
  <si>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</si>
  <si>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</si>
  <si>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</si>
  <si>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</si>
  <si>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</si>
  <si>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</si>
  <si>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</si>
  <si>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</si>
  <si>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</si>
  <si>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</si>
  <si>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</si>
  <si>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</si>
  <si>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</si>
  <si>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</si>
  <si>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</si>
  <si>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</si>
  <si>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</si>
  <si>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</si>
  <si>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</si>
  <si>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</si>
  <si>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</si>
  <si>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</si>
  <si>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</si>
  <si>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</si>
  <si>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</si>
  <si>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</si>
  <si>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</si>
  <si>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</si>
  <si>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</si>
  <si>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</si>
  <si>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</si>
  <si>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</si>
  <si>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</si>
  <si>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</si>
  <si>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</si>
  <si>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</si>
  <si>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</si>
  <si>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</si>
  <si>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</si>
  <si>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</si>
  <si>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</si>
  <si>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</si>
  <si>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</si>
  <si>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</si>
  <si>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</si>
  <si>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</si>
  <si>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</si>
  <si>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</si>
  <si>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</si>
  <si>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</si>
  <si>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</si>
  <si>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</si>
  <si>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</si>
  <si>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</si>
  <si>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</si>
  <si>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</si>
  <si>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</si>
  <si>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</si>
  <si>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</si>
  <si>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</si>
  <si>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</si>
  <si>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</si>
  <si>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</si>
  <si>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</si>
  <si>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</si>
  <si>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</si>
  <si>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</si>
  <si>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</si>
  <si>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</si>
  <si>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</si>
  <si>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</si>
  <si>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</si>
  <si>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</si>
  <si>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</si>
  <si>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</si>
  <si>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</si>
  <si>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</si>
  <si>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</si>
  <si>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</si>
  <si>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</si>
  <si>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</si>
  <si>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</si>
  <si>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</si>
  <si>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</si>
  <si>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</si>
  <si>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</si>
  <si>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</si>
  <si>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</si>
  <si>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</si>
  <si>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</si>
  <si>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</si>
  <si>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</si>
  <si>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</si>
  <si>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</si>
  <si>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</si>
  <si>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</si>
  <si>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</si>
  <si>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</si>
  <si>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</si>
  <si>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</si>
  <si>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</si>
  <si>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</si>
  <si>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</si>
  <si>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</si>
  <si>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</si>
  <si>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</si>
  <si>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</si>
  <si>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</si>
  <si>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</si>
  <si>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</si>
  <si>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</si>
  <si>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</si>
  <si>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</si>
  <si>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</si>
  <si>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</si>
  <si>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</si>
  <si>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</si>
  <si>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</si>
  <si>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</si>
  <si>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</si>
  <si>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</si>
  <si>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</si>
  <si>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</si>
  <si>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</si>
  <si>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</si>
  <si>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</si>
  <si>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</si>
  <si>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</si>
  <si>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</si>
  <si>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</si>
  <si>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</si>
  <si>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</si>
  <si>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</si>
  <si>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</si>
  <si>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</si>
  <si>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</si>
  <si>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</si>
  <si>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</si>
  <si>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</si>
  <si>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</si>
  <si>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</si>
  <si>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</si>
  <si>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</si>
  <si>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</si>
  <si>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</si>
  <si>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</si>
  <si>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</si>
  <si>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</si>
  <si>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</si>
  <si>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</si>
  <si>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</si>
  <si>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</si>
  <si>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</si>
  <si>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</si>
  <si>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</si>
  <si>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</si>
  <si>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</si>
  <si>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</si>
  <si>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</si>
  <si>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</si>
  <si>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</si>
  <si>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</si>
  <si>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</si>
  <si>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</si>
  <si>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</si>
  <si>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</si>
  <si>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</si>
  <si>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</si>
  <si>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</si>
  <si>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</si>
  <si>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</si>
  <si>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</si>
  <si>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</si>
  <si>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</si>
  <si>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</si>
  <si>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</si>
  <si>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</si>
  <si>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</si>
  <si>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</si>
  <si>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</si>
  <si>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</si>
  <si>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</si>
  <si>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</si>
  <si>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</si>
  <si>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</si>
  <si>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</si>
  <si>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</si>
  <si>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</si>
  <si>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</si>
  <si>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</si>
  <si>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</si>
  <si>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</si>
  <si>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</si>
  <si>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</si>
  <si>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</si>
  <si>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</si>
  <si>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</si>
  <si>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</si>
  <si>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</si>
  <si>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</si>
  <si>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</si>
  <si>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</si>
  <si>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</si>
  <si>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</si>
  <si>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</si>
  <si>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</si>
  <si>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</si>
  <si>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</si>
  <si>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</si>
  <si>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</si>
  <si>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</si>
  <si>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</si>
  <si>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</si>
  <si>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</si>
  <si>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</si>
  <si>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</si>
  <si>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</si>
  <si>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</si>
  <si>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</si>
  <si>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</si>
  <si>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</si>
  <si>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</si>
  <si>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</si>
  <si>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</si>
  <si>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</si>
  <si>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</si>
  <si>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</si>
  <si>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</si>
  <si>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</si>
  <si>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</si>
  <si>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</si>
  <si>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</si>
  <si>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</si>
  <si>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</si>
  <si>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</si>
  <si>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</si>
  <si>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</si>
  <si>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</si>
  <si>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</si>
  <si>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</si>
  <si>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</si>
  <si>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</si>
  <si>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</si>
  <si>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</si>
  <si>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</si>
  <si>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</si>
  <si>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</si>
  <si>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</si>
  <si>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</si>
  <si>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</si>
  <si>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</si>
  <si>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</si>
  <si>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</si>
  <si>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</si>
  <si>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</si>
  <si>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</si>
  <si>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</si>
  <si>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</si>
  <si>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</si>
  <si>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</si>
  <si>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</si>
  <si>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</si>
  <si>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</si>
  <si>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</si>
  <si>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</si>
  <si>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</si>
  <si>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</si>
  <si>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</si>
  <si>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</si>
  <si>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</si>
  <si>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</si>
  <si>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</si>
  <si>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</si>
  <si>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</si>
  <si>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</si>
  <si>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</si>
  <si>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</si>
  <si>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</si>
  <si>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</si>
  <si>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</si>
  <si>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</si>
  <si>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</si>
  <si>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</si>
  <si>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</si>
  <si>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</si>
  <si>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</si>
  <si>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</si>
  <si>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</si>
  <si>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</si>
  <si>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</si>
  <si>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</si>
  <si>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</si>
  <si>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</si>
  <si>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</si>
  <si>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</si>
  <si>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</si>
  <si>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</si>
  <si>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</si>
  <si>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</si>
  <si>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</si>
  <si>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</si>
  <si>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</si>
  <si>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</si>
  <si>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</si>
  <si>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</si>
  <si>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</si>
  <si>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</si>
  <si>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</si>
  <si>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</si>
  <si>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</si>
  <si>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</si>
  <si>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</si>
  <si>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</si>
  <si>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</si>
  <si>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</si>
  <si>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</si>
  <si>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</si>
  <si>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</si>
  <si>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</si>
  <si>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</si>
  <si>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</si>
  <si>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</si>
  <si>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</si>
  <si>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</si>
  <si>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</si>
  <si>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</si>
  <si>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</si>
  <si>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</si>
  <si>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</si>
  <si>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</si>
  <si>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</si>
  <si>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</si>
  <si>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</si>
  <si>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</si>
  <si>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</si>
  <si>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</si>
  <si>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</si>
  <si>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</si>
  <si>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</si>
  <si>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</si>
  <si>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</si>
  <si>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</si>
  <si>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</si>
  <si>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</si>
  <si>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</si>
  <si>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</si>
  <si>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</si>
  <si>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</si>
  <si>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</si>
  <si>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</si>
  <si>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</si>
  <si>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</si>
  <si>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</si>
  <si>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</si>
  <si>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</si>
  <si>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</si>
  <si>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</si>
  <si>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</si>
  <si>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</si>
  <si>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</si>
  <si>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</si>
  <si>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</si>
  <si>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</si>
  <si>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</si>
  <si>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</si>
  <si>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</si>
  <si>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</si>
  <si>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</si>
  <si>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</si>
  <si>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</si>
  <si>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</si>
  <si>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</si>
  <si>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</si>
  <si>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</si>
  <si>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</si>
  <si>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</si>
  <si>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</si>
  <si>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</si>
  <si>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</si>
  <si>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</si>
  <si>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</si>
  <si>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</si>
  <si>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</si>
  <si>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</si>
  <si>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</si>
  <si>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</si>
  <si>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</si>
  <si>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</si>
  <si>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</si>
  <si>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</si>
  <si>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</si>
  <si>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</si>
  <si>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</si>
  <si>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</si>
  <si>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</si>
  <si>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</si>
  <si>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</si>
  <si>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</si>
  <si>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</si>
  <si>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</si>
  <si>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</si>
  <si>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</si>
  <si>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</si>
  <si>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</si>
  <si>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</si>
  <si>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</si>
  <si>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</si>
  <si>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</si>
  <si>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</si>
  <si>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</si>
  <si>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</si>
  <si>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</si>
  <si>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</si>
  <si>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</si>
  <si>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</si>
  <si>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</si>
  <si>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</si>
  <si>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</si>
  <si>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</si>
  <si>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</si>
  <si>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</si>
  <si>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</si>
  <si>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</si>
  <si>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</si>
  <si>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</si>
  <si>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</si>
  <si>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</si>
  <si>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</si>
  <si>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</si>
  <si>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</si>
  <si>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</si>
  <si>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</si>
  <si>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</si>
  <si>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</si>
  <si>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</si>
  <si>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</si>
  <si>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</si>
  <si>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</si>
  <si>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</si>
  <si>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</si>
  <si>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</si>
  <si>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</si>
  <si>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</si>
  <si>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</si>
  <si>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</si>
  <si>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</si>
  <si>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</si>
  <si>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</si>
  <si>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</si>
  <si>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</si>
  <si>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</si>
  <si>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</si>
  <si>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</si>
  <si>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</si>
  <si>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</si>
  <si>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</si>
  <si>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</si>
  <si>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</si>
  <si>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</si>
  <si>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</si>
  <si>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</si>
  <si>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</si>
  <si>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</si>
  <si>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</si>
  <si>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</si>
  <si>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</si>
  <si>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</si>
  <si>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</si>
  <si>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</si>
  <si>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</si>
  <si>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</si>
  <si>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</si>
  <si>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</si>
  <si>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</si>
  <si>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</si>
  <si>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</si>
  <si>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</si>
  <si>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</si>
  <si>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</si>
  <si>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</si>
  <si>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</si>
  <si>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</si>
  <si>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</si>
  <si>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</si>
  <si>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</si>
  <si>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</si>
  <si>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</si>
  <si>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</si>
  <si>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</si>
  <si>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</si>
  <si>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</si>
  <si>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</si>
  <si>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</si>
  <si>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</si>
  <si>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</si>
  <si>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</si>
  <si>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</si>
  <si>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</si>
  <si>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</si>
  <si>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</si>
  <si>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</si>
  <si>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</si>
  <si>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</si>
  <si>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</si>
  <si>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</si>
  <si>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</si>
  <si>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</si>
  <si>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</si>
  <si>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</si>
  <si>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</si>
  <si>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</si>
  <si>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</si>
  <si>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</si>
  <si>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</si>
  <si>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</si>
  <si>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</si>
  <si>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</si>
  <si>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</si>
  <si>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</si>
  <si>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</si>
  <si>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</si>
  <si>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</si>
  <si>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</si>
  <si>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</si>
  <si>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</si>
  <si>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</si>
  <si>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</si>
  <si>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</si>
  <si>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</si>
  <si>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</si>
  <si>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</si>
  <si>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</si>
  <si>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</si>
  <si>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</si>
  <si>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</si>
  <si>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</si>
  <si>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</si>
  <si>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</si>
  <si>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</si>
  <si>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</si>
  <si>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</si>
  <si>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</si>
  <si>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</si>
  <si>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</si>
  <si>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</si>
  <si>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</si>
  <si>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</si>
  <si>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</si>
  <si>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</si>
  <si>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</si>
  <si>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</si>
  <si>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</si>
  <si>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</si>
  <si>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</si>
  <si>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</si>
  <si>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</si>
  <si>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</si>
  <si>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</si>
  <si>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</si>
  <si>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</si>
  <si>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</si>
  <si>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</si>
  <si>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</si>
  <si>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</si>
  <si>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</si>
  <si>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</si>
  <si>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</si>
  <si>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</si>
  <si>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</si>
  <si>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</si>
  <si>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</si>
  <si>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</si>
  <si>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</si>
  <si>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</si>
  <si>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</si>
  <si>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</si>
  <si>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</si>
  <si>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</si>
  <si>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</si>
  <si>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</si>
  <si>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</si>
  <si>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</si>
  <si>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</si>
  <si>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</si>
  <si>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</si>
  <si>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</si>
  <si>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</si>
  <si>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</si>
  <si>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</si>
  <si>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</si>
  <si>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</si>
  <si>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</si>
  <si>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</si>
  <si>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</si>
  <si>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</si>
  <si>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</si>
  <si>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</si>
  <si>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</si>
  <si>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</si>
  <si>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</si>
  <si>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</si>
  <si>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</si>
  <si>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</si>
  <si>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</si>
  <si>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</si>
  <si>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</si>
  <si>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</si>
  <si>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</si>
  <si>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</si>
  <si>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</si>
  <si>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</si>
  <si>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</si>
  <si>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</si>
  <si>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</si>
  <si>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</si>
  <si>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</si>
  <si>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</si>
  <si>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</si>
  <si>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</si>
  <si>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</si>
  <si>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</si>
  <si>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</si>
  <si>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</si>
  <si>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</si>
  <si>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</si>
  <si>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</si>
  <si>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</si>
  <si>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</si>
  <si>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</si>
  <si>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</si>
  <si>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</si>
  <si>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</si>
  <si>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</si>
  <si>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</si>
  <si>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</si>
  <si>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</si>
  <si>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</si>
  <si>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</si>
  <si>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</si>
  <si>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</si>
  <si>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</si>
  <si>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</si>
  <si>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</si>
  <si>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</si>
  <si>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</si>
  <si>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</si>
  <si>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</si>
  <si>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</si>
  <si>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</si>
  <si>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</si>
  <si>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</si>
  <si>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</si>
  <si>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</si>
  <si>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</si>
  <si>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</si>
  <si>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</si>
  <si>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</si>
  <si>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</si>
  <si>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</si>
  <si>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</si>
  <si>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</si>
  <si>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</si>
  <si>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</si>
  <si>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</si>
  <si>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</si>
  <si>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</si>
  <si>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</si>
  <si>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</si>
  <si>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</si>
  <si>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</si>
  <si>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</si>
  <si>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</si>
  <si>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</si>
  <si>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</si>
  <si>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</si>
  <si>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</si>
  <si>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</si>
  <si>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</si>
  <si>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</si>
  <si>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</si>
  <si>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</si>
  <si>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</si>
  <si>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</si>
  <si>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</si>
  <si>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</si>
  <si>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</si>
  <si>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</si>
  <si>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</si>
  <si>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</si>
  <si>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</si>
  <si>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</si>
  <si>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</si>
  <si>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</si>
  <si>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</si>
  <si>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</si>
  <si>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</si>
  <si>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</si>
  <si>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</si>
  <si>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</si>
  <si>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</si>
  <si>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</si>
  <si>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</si>
  <si>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</si>
  <si>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</si>
  <si>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</si>
  <si>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</si>
  <si>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</si>
  <si>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</si>
  <si>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</si>
  <si>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</si>
  <si>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</si>
  <si>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</si>
  <si>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</si>
  <si>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</si>
  <si>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</si>
  <si>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</si>
  <si>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</si>
  <si>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</si>
  <si>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</si>
  <si>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</si>
  <si>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</si>
  <si>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</si>
  <si>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</si>
  <si>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</si>
  <si>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</si>
  <si>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</si>
  <si>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</si>
  <si>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</si>
  <si>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</si>
  <si>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</si>
  <si>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</si>
  <si>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</si>
  <si>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</si>
  <si>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</si>
  <si>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</si>
  <si>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</si>
  <si>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</si>
  <si>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</si>
  <si>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</si>
  <si>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</si>
  <si>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</si>
  <si>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</si>
  <si>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</si>
  <si>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</si>
  <si>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</si>
  <si>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</si>
  <si>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</si>
  <si>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</si>
  <si>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</si>
  <si>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</si>
  <si>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</si>
  <si>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</si>
  <si>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</si>
  <si>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</si>
  <si>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</si>
  <si>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</si>
  <si>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</si>
  <si>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</si>
  <si>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</si>
  <si>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</si>
  <si>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</si>
  <si>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</si>
  <si>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</si>
  <si>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</si>
  <si>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</si>
  <si>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</si>
  <si>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</si>
  <si>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</si>
  <si>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</si>
  <si>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</si>
  <si>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</si>
  <si>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</si>
  <si>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</si>
  <si>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</si>
  <si>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</si>
  <si>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</si>
  <si>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</si>
  <si>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</si>
  <si>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</si>
  <si>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</si>
  <si>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</si>
  <si>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</si>
  <si>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</si>
  <si>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</si>
  <si>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</si>
  <si>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</si>
  <si>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</si>
  <si>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</si>
  <si>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</si>
  <si>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</si>
  <si>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</si>
  <si>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</si>
  <si>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</si>
  <si>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</si>
  <si>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</si>
  <si>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</si>
  <si>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</si>
  <si>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</si>
  <si>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</si>
  <si>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</si>
  <si>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</si>
  <si>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</si>
  <si>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</si>
  <si>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</si>
  <si>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</si>
  <si>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</si>
  <si>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</si>
  <si>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</si>
  <si>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</si>
  <si>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</si>
  <si>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</si>
  <si>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</si>
  <si>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</si>
  <si>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</si>
  <si>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</si>
  <si>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</si>
  <si>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</si>
  <si>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</si>
  <si>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</si>
  <si>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</si>
  <si>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</si>
  <si>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</si>
  <si>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</si>
  <si>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</si>
  <si>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</si>
  <si>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</si>
  <si>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</si>
  <si>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</si>
  <si>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</si>
  <si>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</si>
  <si>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</si>
  <si>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</si>
  <si>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</si>
  <si>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</si>
  <si>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</si>
  <si>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</si>
  <si>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</si>
  <si>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</si>
  <si>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</si>
  <si>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</si>
  <si>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</si>
  <si>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</si>
  <si>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</si>
  <si>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</si>
  <si>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</si>
  <si>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</si>
  <si>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</si>
  <si>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</si>
  <si>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</si>
  <si>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</si>
  <si>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</si>
  <si>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</si>
  <si>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</si>
  <si>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</si>
  <si>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</si>
  <si>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</si>
  <si>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</si>
  <si>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</si>
  <si>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</si>
  <si>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</si>
  <si>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</si>
  <si>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</si>
  <si>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</si>
  <si>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</si>
  <si>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</si>
  <si>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</si>
  <si>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</si>
  <si>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</si>
  <si>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</si>
  <si>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</si>
  <si>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</si>
  <si>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</si>
  <si>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</si>
  <si>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</si>
  <si>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</si>
  <si>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</si>
  <si>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</si>
  <si>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</si>
  <si>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</si>
  <si>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</si>
  <si>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</si>
  <si>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</si>
  <si>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</si>
  <si>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</si>
  <si>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</si>
  <si>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</si>
  <si>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</si>
  <si>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</si>
  <si>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</si>
  <si>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</si>
  <si>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</si>
  <si>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</si>
  <si>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</si>
  <si>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</si>
  <si>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</si>
  <si>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</si>
  <si>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</si>
  <si>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</si>
  <si>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</si>
  <si>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</si>
  <si>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</si>
  <si>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</si>
  <si>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</si>
  <si>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</si>
  <si>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</si>
  <si>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</si>
  <si>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</si>
  <si>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</si>
  <si>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</si>
  <si>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</si>
  <si>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</si>
  <si>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</si>
  <si>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</si>
  <si>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</si>
  <si>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</si>
  <si>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</si>
  <si>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</si>
  <si>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</si>
  <si>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</si>
  <si>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</si>
  <si>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</si>
  <si>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</si>
  <si>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</si>
  <si>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</si>
  <si>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</si>
  <si>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</si>
  <si>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</si>
  <si>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</si>
  <si>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</si>
  <si>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</si>
  <si>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</si>
  <si>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</si>
  <si>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</si>
  <si>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</si>
  <si>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</si>
  <si>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</si>
  <si>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</si>
  <si>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</si>
  <si>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</si>
  <si>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</si>
  <si>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</si>
  <si>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</si>
  <si>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</si>
  <si>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</si>
  <si>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</si>
  <si>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</si>
  <si>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</si>
  <si>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</si>
  <si>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</si>
  <si>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</si>
  <si>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</si>
  <si>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</si>
  <si>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</si>
  <si>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</si>
  <si>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</si>
  <si>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</si>
  <si>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</si>
  <si>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</si>
  <si>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</si>
  <si>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</si>
  <si>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</si>
  <si>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</si>
  <si>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</si>
  <si>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</si>
  <si>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</si>
  <si>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</si>
  <si>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</si>
  <si>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</si>
  <si>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</si>
  <si>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</si>
  <si>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</si>
  <si>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</si>
  <si>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</si>
  <si>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</si>
  <si>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</si>
  <si>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</si>
  <si>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</si>
  <si>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</si>
  <si>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</si>
  <si>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</si>
  <si>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</si>
  <si>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</si>
  <si>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</si>
  <si>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</si>
  <si>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</si>
  <si>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</si>
  <si>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</si>
  <si>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</si>
  <si>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</si>
  <si>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</si>
  <si>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</si>
  <si>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</si>
  <si>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</si>
  <si>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</si>
  <si>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</si>
  <si>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</si>
  <si>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</si>
  <si>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</si>
  <si>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</si>
  <si>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</si>
  <si>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</si>
  <si>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</si>
  <si>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</si>
  <si>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</si>
  <si>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</si>
  <si>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</si>
  <si>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</si>
  <si>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</si>
  <si>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</si>
  <si>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</si>
  <si>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</si>
  <si>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</si>
  <si>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</si>
  <si>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</si>
  <si>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</si>
  <si>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</si>
  <si>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</si>
  <si>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</si>
  <si>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</si>
  <si>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</si>
  <si>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</si>
  <si>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</si>
  <si>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</si>
  <si>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</si>
  <si>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</si>
  <si>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</si>
  <si>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</si>
  <si>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</si>
  <si>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</si>
  <si>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</si>
  <si>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</si>
  <si>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</si>
  <si>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</si>
  <si>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</si>
  <si>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</si>
  <si>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</si>
  <si>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</si>
  <si>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</si>
  <si>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</si>
  <si>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</si>
  <si>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</si>
  <si>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</si>
  <si>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</si>
  <si>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</si>
  <si>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</si>
  <si>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</si>
  <si>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</si>
  <si>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</si>
  <si>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</si>
  <si>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</si>
  <si>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</si>
  <si>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</si>
  <si>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</si>
  <si>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</si>
  <si>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</si>
  <si>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</si>
  <si>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</si>
  <si>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</si>
  <si>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</si>
  <si>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</si>
  <si>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</si>
  <si>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</si>
  <si>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</si>
  <si>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</si>
  <si>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</si>
  <si>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</si>
  <si>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</si>
  <si>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</si>
  <si>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</si>
  <si>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</si>
  <si>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</si>
  <si>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</si>
  <si>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</si>
  <si>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</si>
  <si>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</si>
  <si>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</si>
  <si>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</si>
  <si>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</si>
  <si>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</si>
  <si>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</si>
  <si>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</si>
  <si>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</si>
  <si>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</si>
  <si>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</si>
  <si>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</si>
  <si>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</si>
  <si>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</si>
  <si>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</si>
  <si>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</si>
  <si>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</si>
  <si>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</si>
  <si>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</si>
  <si>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</si>
  <si>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</si>
  <si>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</si>
  <si>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</si>
  <si>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</si>
  <si>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</si>
  <si>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</si>
  <si>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</si>
  <si>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</si>
  <si>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</si>
  <si>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</si>
  <si>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</si>
  <si>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</si>
  <si>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</si>
  <si>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</si>
  <si>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</si>
  <si>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</si>
  <si>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</si>
  <si>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</si>
  <si>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</si>
  <si>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</si>
  <si>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</si>
  <si>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</si>
  <si>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</si>
  <si>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</si>
  <si>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</si>
  <si>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</si>
  <si>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</si>
  <si>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</si>
  <si>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</si>
  <si>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</si>
  <si>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</si>
  <si>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</si>
  <si>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</si>
  <si>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</si>
  <si>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</si>
  <si>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</si>
  <si>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</si>
  <si>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</si>
  <si>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</si>
  <si>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</si>
  <si>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</si>
  <si>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</si>
  <si>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</si>
  <si>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</si>
  <si>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</si>
  <si>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</si>
  <si>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</si>
  <si>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</si>
  <si>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</si>
  <si>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</si>
  <si>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</si>
  <si>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</si>
  <si>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</si>
  <si>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</si>
  <si>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</si>
  <si>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</si>
  <si>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</si>
  <si>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</si>
  <si>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</si>
  <si>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</si>
  <si>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</si>
  <si>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</si>
  <si>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</si>
  <si>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</si>
  <si>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</si>
  <si>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</si>
  <si>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</si>
  <si>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</si>
  <si>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</si>
  <si>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</si>
  <si>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</si>
  <si>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</si>
  <si>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</si>
  <si>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</si>
  <si>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</si>
  <si>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</si>
  <si>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</si>
  <si>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</si>
  <si>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</si>
  <si>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</si>
  <si>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</si>
  <si>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</si>
  <si>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</si>
  <si>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</si>
  <si>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</si>
  <si>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</si>
  <si>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</si>
  <si>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</si>
  <si>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</si>
  <si>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</si>
  <si>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</si>
  <si>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</si>
  <si>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</si>
  <si>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</si>
  <si>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</si>
  <si>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</si>
  <si>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</si>
  <si>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</si>
  <si>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</si>
  <si>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</si>
  <si>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</si>
  <si>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</si>
  <si>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</si>
  <si>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</si>
  <si>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</si>
  <si>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</si>
  <si>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</si>
  <si>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</si>
  <si>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</si>
  <si>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</si>
  <si>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</si>
  <si>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</si>
  <si>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</si>
  <si>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</si>
  <si>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</si>
  <si>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</si>
  <si>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</si>
  <si>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</si>
  <si>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</si>
  <si>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</si>
  <si>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</si>
  <si>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</si>
  <si>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</si>
  <si>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</si>
  <si>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</si>
  <si>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</si>
  <si>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</si>
  <si>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</si>
  <si>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</si>
  <si>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</si>
  <si>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</si>
  <si>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</si>
  <si>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</si>
  <si>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</si>
  <si>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</si>
  <si>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</si>
  <si>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</si>
  <si>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</si>
  <si>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</si>
  <si>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</si>
  <si>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</si>
  <si>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</si>
  <si>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</si>
  <si>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</si>
  <si>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</si>
  <si>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</si>
  <si>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</si>
  <si>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</si>
  <si>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</si>
  <si>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</si>
  <si>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</si>
  <si>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</si>
  <si>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</si>
  <si>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</si>
  <si>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</si>
  <si>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</si>
  <si>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</si>
  <si>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</si>
  <si>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</si>
  <si>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</si>
  <si>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</si>
  <si>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</si>
  <si>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</si>
  <si>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</si>
  <si>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</si>
  <si>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</si>
  <si>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</si>
  <si>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</si>
  <si>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</si>
  <si>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</si>
  <si>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</si>
  <si>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</si>
  <si>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</si>
  <si>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</si>
  <si>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</si>
  <si>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</si>
  <si>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</si>
  <si>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</si>
  <si>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</si>
  <si>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</si>
  <si>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</si>
  <si>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</si>
  <si>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</si>
  <si>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</si>
  <si>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</si>
  <si>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</si>
  <si>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</si>
  <si>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</si>
  <si>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</si>
  <si>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</si>
  <si>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</si>
  <si>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</si>
  <si>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</si>
  <si>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</si>
  <si>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</si>
  <si>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</si>
  <si>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</si>
  <si>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</si>
  <si>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</si>
  <si>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</si>
  <si>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</si>
  <si>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</si>
  <si>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</si>
  <si>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</si>
  <si>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</si>
  <si>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</si>
  <si>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</si>
  <si>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</si>
  <si>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</si>
  <si>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</si>
  <si>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</si>
  <si>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</si>
  <si>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</si>
  <si>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</si>
  <si>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</si>
  <si>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</si>
  <si>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</si>
  <si>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</si>
  <si>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</si>
  <si>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</si>
  <si>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</si>
  <si>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</si>
  <si>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</si>
  <si>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</si>
  <si>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</si>
  <si>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</si>
  <si>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</si>
  <si>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</si>
  <si>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</si>
  <si>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</si>
  <si>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</si>
  <si>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</si>
  <si>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</si>
  <si>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</si>
  <si>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</si>
  <si>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</si>
  <si>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</si>
  <si>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</si>
  <si>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</si>
  <si>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</si>
  <si>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</si>
  <si>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</si>
  <si>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</si>
  <si>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</si>
  <si>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</si>
  <si>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</si>
  <si>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</si>
  <si>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</si>
  <si>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</si>
  <si>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</si>
  <si>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</si>
  <si>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</si>
  <si>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</si>
  <si>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</si>
  <si>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</si>
  <si>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</si>
  <si>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</si>
  <si>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</si>
  <si>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</si>
  <si>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</si>
  <si>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</si>
  <si>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</si>
  <si>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</si>
  <si>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</si>
  <si>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</si>
  <si>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</si>
  <si>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</si>
  <si>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</si>
  <si>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</si>
  <si>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</si>
  <si>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</si>
  <si>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</si>
  <si>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</si>
  <si>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</si>
  <si>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</si>
  <si>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</si>
  <si>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</si>
  <si>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</si>
  <si>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</si>
  <si>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</si>
  <si>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</si>
  <si>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</si>
  <si>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</si>
  <si>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</si>
  <si>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</si>
  <si>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</si>
  <si>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</si>
  <si>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</si>
  <si>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</si>
  <si>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</si>
  <si>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</si>
  <si>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</si>
  <si>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</si>
  <si>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</si>
  <si>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</si>
  <si>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</si>
  <si>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</si>
  <si>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</si>
  <si>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</si>
  <si>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</si>
  <si>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</si>
  <si>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</si>
  <si>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</si>
  <si>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</si>
  <si>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</si>
  <si>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</si>
  <si>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</si>
  <si>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</si>
  <si>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</si>
  <si>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</si>
  <si>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</si>
  <si>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</si>
  <si>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</si>
  <si>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</si>
  <si>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</si>
  <si>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</si>
  <si>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</si>
  <si>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</si>
  <si>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</si>
  <si>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</si>
  <si>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</si>
  <si>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</si>
  <si>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</si>
  <si>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</si>
  <si>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</si>
  <si>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</si>
  <si>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</si>
  <si>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</si>
  <si>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</si>
  <si>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</si>
  <si>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</si>
  <si>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</si>
  <si>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</si>
  <si>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</si>
  <si>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</si>
  <si>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</si>
  <si>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</si>
  <si>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</si>
  <si>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</si>
  <si>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</si>
  <si>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</si>
  <si>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</si>
  <si>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</si>
  <si>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</si>
  <si>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</si>
  <si>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</si>
  <si>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</si>
  <si>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</si>
  <si>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</si>
  <si>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</si>
  <si>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</si>
  <si>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</si>
  <si>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</si>
  <si>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</si>
  <si>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</si>
  <si>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</si>
  <si>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</si>
  <si>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</si>
  <si>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</si>
  <si>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</si>
  <si>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</si>
  <si>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</si>
  <si>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</si>
  <si>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</si>
  <si>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</si>
  <si>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</si>
  <si>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</si>
  <si>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</si>
  <si>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</si>
  <si>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</si>
  <si>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</si>
  <si>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</si>
  <si>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</si>
  <si>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</si>
  <si>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</si>
  <si>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</si>
  <si>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</si>
  <si>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</si>
  <si>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</si>
  <si>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</si>
  <si>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</si>
  <si>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</si>
  <si>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</si>
  <si>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</si>
  <si>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</si>
  <si>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</si>
  <si>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</si>
  <si>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</si>
  <si>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</si>
  <si>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</si>
  <si>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</si>
  <si>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</si>
  <si>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</si>
  <si>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</si>
  <si>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</si>
  <si>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</si>
  <si>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</si>
  <si>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</si>
  <si>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</si>
  <si>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</si>
  <si>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</si>
  <si>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</si>
  <si>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</si>
  <si>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</si>
  <si>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</si>
  <si>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</si>
  <si>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</si>
  <si>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</si>
  <si>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</si>
  <si>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</si>
  <si>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</si>
  <si>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</si>
  <si>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</si>
  <si>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</si>
  <si>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</si>
  <si>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</si>
  <si>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</si>
  <si>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</si>
  <si>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</si>
  <si>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</si>
  <si>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</si>
  <si>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</si>
  <si>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</si>
  <si>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</si>
  <si>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</si>
  <si>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</si>
  <si>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</si>
  <si>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</si>
  <si>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</si>
  <si>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</si>
  <si>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</si>
  <si>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</si>
  <si>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</si>
  <si>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</si>
  <si>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</si>
  <si>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</si>
  <si>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</si>
  <si>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</si>
  <si>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</si>
  <si>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</si>
  <si>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</si>
  <si>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</si>
  <si>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</si>
  <si>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</si>
  <si>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</si>
  <si>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</si>
  <si>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</si>
  <si>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</si>
  <si>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</si>
  <si>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</si>
  <si>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</si>
  <si>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</si>
  <si>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</si>
  <si>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</si>
  <si>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</si>
  <si>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</si>
  <si>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</si>
  <si>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</si>
  <si>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</si>
  <si>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</si>
  <si>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</si>
  <si>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</si>
  <si>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</si>
  <si>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</si>
  <si>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</si>
  <si>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</si>
  <si>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</si>
  <si>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</si>
  <si>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</si>
  <si>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</si>
  <si>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</si>
  <si>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</si>
  <si>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</si>
  <si>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</si>
  <si>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</si>
  <si>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</si>
  <si>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</si>
  <si>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</si>
  <si>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</si>
  <si>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</si>
  <si>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</si>
  <si>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</si>
  <si>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</si>
  <si>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</si>
  <si>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</si>
  <si>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</si>
  <si>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</si>
  <si>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</si>
  <si>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</si>
  <si>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</si>
  <si>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</si>
  <si>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</si>
  <si>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</si>
  <si>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</si>
  <si>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</si>
  <si>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</si>
  <si>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</si>
  <si>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</si>
  <si>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</si>
  <si>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</si>
  <si>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</si>
  <si>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</si>
  <si>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</si>
  <si>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</si>
  <si>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</si>
  <si>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</si>
  <si>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</si>
  <si>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</si>
  <si>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</si>
  <si>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</si>
  <si>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</si>
  <si>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</si>
  <si>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</si>
  <si>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</si>
  <si>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</si>
  <si>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</si>
  <si>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</si>
  <si>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</si>
  <si>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</si>
  <si>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</si>
  <si>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</si>
  <si>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</si>
  <si>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</si>
  <si>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</si>
  <si>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</si>
  <si>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</si>
  <si>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</si>
  <si>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</si>
  <si>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</si>
  <si>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</si>
  <si>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</si>
  <si>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</si>
  <si>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</si>
  <si>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</si>
  <si>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</si>
  <si>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</si>
  <si>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</si>
  <si>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</si>
  <si>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</si>
  <si>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</si>
  <si>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</si>
  <si>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</si>
  <si>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</si>
  <si>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</si>
  <si>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</si>
  <si>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</si>
  <si>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</si>
  <si>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</si>
  <si>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</si>
  <si>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</si>
  <si>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</si>
  <si>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</si>
  <si>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</si>
  <si>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</si>
  <si>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</si>
  <si>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</si>
  <si>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</si>
  <si>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</si>
  <si>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</si>
  <si>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</si>
  <si>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</si>
  <si>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</si>
  <si>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</si>
  <si>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</si>
  <si>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</si>
  <si>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</si>
  <si>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</si>
  <si>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</si>
  <si>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</si>
  <si>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</si>
  <si>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</si>
  <si>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</si>
  <si>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</si>
  <si>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</si>
  <si>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</si>
  <si>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</si>
  <si>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</si>
  <si>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</si>
  <si>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</si>
  <si>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</si>
  <si>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</si>
  <si>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</si>
  <si>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</si>
  <si>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</si>
  <si>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</si>
  <si>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</si>
  <si>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</si>
  <si>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</si>
  <si>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</si>
  <si>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</si>
  <si>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</si>
  <si>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</si>
  <si>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</si>
  <si>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</si>
  <si>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</si>
  <si>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</si>
  <si>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</si>
  <si>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</si>
  <si>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</si>
  <si>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</si>
  <si>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</si>
  <si>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</si>
  <si>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</si>
  <si>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</si>
  <si>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</si>
  <si>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</si>
  <si>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</si>
  <si>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</si>
  <si>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</si>
  <si>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</si>
  <si>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</si>
  <si>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</si>
  <si>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</si>
  <si>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</si>
  <si>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</si>
  <si>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</si>
  <si>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</si>
  <si>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</si>
  <si>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</si>
  <si>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</si>
  <si>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</si>
  <si>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</si>
  <si>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</si>
  <si>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</si>
  <si>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</si>
  <si>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</si>
  <si>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</si>
  <si>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</si>
  <si>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</si>
  <si>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</si>
  <si>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</si>
  <si>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</si>
  <si>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</si>
  <si>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</si>
  <si>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</si>
  <si>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</si>
  <si>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</si>
  <si>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</si>
  <si>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</si>
  <si>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</si>
  <si>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</si>
  <si>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</si>
  <si>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</si>
  <si>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</si>
  <si>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</si>
  <si>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</si>
  <si>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</si>
  <si>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</si>
  <si>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</si>
  <si>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</si>
  <si>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</si>
  <si>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</si>
  <si>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</si>
  <si>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</si>
  <si>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</si>
  <si>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</si>
  <si>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</si>
  <si>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</si>
  <si>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</si>
  <si>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</si>
  <si>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</si>
  <si>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</si>
  <si>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</si>
  <si>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</si>
  <si>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</si>
  <si>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</si>
  <si>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</si>
  <si>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</si>
  <si>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</si>
  <si>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</si>
  <si>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</si>
  <si>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</si>
  <si>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</si>
  <si>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</si>
  <si>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</si>
  <si>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</si>
  <si>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</si>
  <si>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</si>
  <si>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</si>
  <si>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</si>
  <si>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</si>
  <si>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</si>
  <si>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</si>
  <si>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</si>
  <si>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</si>
  <si>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</si>
  <si>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</si>
  <si>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</si>
  <si>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</si>
  <si>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</si>
  <si>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</si>
  <si>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</si>
  <si>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</si>
  <si>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</si>
  <si>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</si>
  <si>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</si>
  <si>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</si>
  <si>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</si>
  <si>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</si>
  <si>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</si>
  <si>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</si>
  <si>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</si>
  <si>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</si>
  <si>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</si>
  <si>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</si>
  <si>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</si>
  <si>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</si>
  <si>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</si>
  <si>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</si>
  <si>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</si>
  <si>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</si>
  <si>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</si>
  <si>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</si>
  <si>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</si>
  <si>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</si>
  <si>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</si>
  <si>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</si>
  <si>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</si>
  <si>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</si>
  <si>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</si>
  <si>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</si>
  <si>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</si>
  <si>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</si>
  <si>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</si>
  <si>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</si>
  <si>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</si>
  <si>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</si>
  <si>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</si>
  <si>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</si>
  <si>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</si>
  <si>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</si>
  <si>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</si>
  <si>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</si>
  <si>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</si>
  <si>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</si>
  <si>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</si>
  <si>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</si>
  <si>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</si>
  <si>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</si>
  <si>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</si>
  <si>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</si>
  <si>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</si>
  <si>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</si>
  <si>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</si>
  <si>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</si>
  <si>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</si>
  <si>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</si>
  <si>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</si>
  <si>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</si>
  <si>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</si>
  <si>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</si>
  <si>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</si>
  <si>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</si>
  <si>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</si>
  <si>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</si>
  <si>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</si>
  <si>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</si>
  <si>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</si>
  <si>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</si>
  <si>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</si>
  <si>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</si>
  <si>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</si>
  <si>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</si>
  <si>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</si>
  <si>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</si>
  <si>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</si>
  <si>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</si>
  <si>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</si>
  <si>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</si>
  <si>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</si>
  <si>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</si>
  <si>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</si>
  <si>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</si>
  <si>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</si>
  <si>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</si>
  <si>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</si>
  <si>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</si>
  <si>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</si>
  <si>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</si>
  <si>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</si>
  <si>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</si>
  <si>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</si>
  <si>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</si>
  <si>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</si>
  <si>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</si>
  <si>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</si>
  <si>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</si>
  <si>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</si>
  <si>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</si>
  <si>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</si>
  <si>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</si>
  <si>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</si>
  <si>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</si>
  <si>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</si>
  <si>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</si>
  <si>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</si>
  <si>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</si>
  <si>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</si>
  <si>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</si>
  <si>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</si>
  <si>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</si>
  <si>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</si>
  <si>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</si>
  <si>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</si>
  <si>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</si>
  <si>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</si>
  <si>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</si>
  <si>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</si>
  <si>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</si>
  <si>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</si>
  <si>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</si>
  <si>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</si>
  <si>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</si>
  <si>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</si>
  <si>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</si>
  <si>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</si>
  <si>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</si>
  <si>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</si>
  <si>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</si>
  <si>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</si>
  <si>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</si>
  <si>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</si>
  <si>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</si>
  <si>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</si>
  <si>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</si>
  <si>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</si>
  <si>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</si>
  <si>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</si>
  <si>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</si>
  <si>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</si>
  <si>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</si>
  <si>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</si>
  <si>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</si>
  <si>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</si>
  <si>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</si>
  <si>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</si>
  <si>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</si>
  <si>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</si>
  <si>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</si>
  <si>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</si>
  <si>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</si>
  <si>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</si>
  <si>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</si>
  <si>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</si>
  <si>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</si>
  <si>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</si>
  <si>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</si>
  <si>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</si>
  <si>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</si>
  <si>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</si>
  <si>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</si>
  <si>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</si>
  <si>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</si>
  <si>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</si>
  <si>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</si>
  <si>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</si>
  <si>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</si>
  <si>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</si>
  <si>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</si>
  <si>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</si>
  <si>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</si>
  <si>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</si>
  <si>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</si>
  <si>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</si>
  <si>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</si>
  <si>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</si>
  <si>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</si>
  <si>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</si>
  <si>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</si>
  <si>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</si>
  <si>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</si>
  <si>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</si>
  <si>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</si>
  <si>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</si>
  <si>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</si>
  <si>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</si>
  <si>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</si>
  <si>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</si>
  <si>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</si>
  <si>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</si>
  <si>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</si>
  <si>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</si>
  <si>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</si>
  <si>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</si>
  <si>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</si>
  <si>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</si>
  <si>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</si>
  <si>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</si>
  <si>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</si>
  <si>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</si>
  <si>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</si>
  <si>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</si>
  <si>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</si>
  <si>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</si>
  <si>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</si>
  <si>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</si>
  <si>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</si>
  <si>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</si>
  <si>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</si>
  <si>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</si>
  <si>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</si>
  <si>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</si>
  <si>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</si>
  <si>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</si>
  <si>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</si>
  <si>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</si>
  <si>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</si>
  <si>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</si>
  <si>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</si>
  <si>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</si>
  <si>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</si>
  <si>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</si>
  <si>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</si>
  <si>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</si>
  <si>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</si>
  <si>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</si>
  <si>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</si>
  <si>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</si>
  <si>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</si>
  <si>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</si>
  <si>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</si>
  <si>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</si>
  <si>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</si>
  <si>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</si>
  <si>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</si>
  <si>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</si>
  <si>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</si>
  <si>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</si>
  <si>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</si>
  <si>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</si>
  <si>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</si>
  <si>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</si>
  <si>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</si>
  <si>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</si>
  <si>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</si>
  <si>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</si>
  <si>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</si>
  <si>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</si>
  <si>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</si>
  <si>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</si>
  <si>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</si>
  <si>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</si>
  <si>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</si>
  <si>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</si>
  <si>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</si>
  <si>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</si>
  <si>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</si>
  <si>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</si>
  <si>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</si>
  <si>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</si>
  <si>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</si>
  <si>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</si>
  <si>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</si>
  <si>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</si>
  <si>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</si>
  <si>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</si>
  <si>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</si>
  <si>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</si>
  <si>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</si>
  <si>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</si>
  <si>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</si>
  <si>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</si>
  <si>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</si>
  <si>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</si>
  <si>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</si>
  <si>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</si>
  <si>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</si>
  <si>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</si>
  <si>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</si>
  <si>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</si>
  <si>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</si>
  <si>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</si>
  <si>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</si>
  <si>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</si>
  <si>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</si>
  <si>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</si>
  <si>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</si>
  <si>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</si>
  <si>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</si>
  <si>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</si>
  <si>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</si>
  <si>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</si>
  <si>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</si>
  <si>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</si>
  <si>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</si>
  <si>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</si>
  <si>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</si>
  <si>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</si>
  <si>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</si>
  <si>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</si>
  <si>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</si>
  <si>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</si>
  <si>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</si>
  <si>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</si>
  <si>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</si>
  <si>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</si>
  <si>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</si>
  <si>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</si>
  <si>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</si>
  <si>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</si>
  <si>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</si>
  <si>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</si>
  <si>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</si>
  <si>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</si>
  <si>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</si>
  <si>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</si>
  <si>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</si>
  <si>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</si>
  <si>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</si>
  <si>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</si>
  <si>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</si>
  <si>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</si>
  <si>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</si>
  <si>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</si>
  <si>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</si>
  <si>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</si>
  <si>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</si>
  <si>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</si>
  <si>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</si>
  <si>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</si>
  <si>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</si>
  <si>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</si>
  <si>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</si>
  <si>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</si>
  <si>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</si>
  <si>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</si>
  <si>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</si>
  <si>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</si>
  <si>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</si>
  <si>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</si>
  <si>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</si>
  <si>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</si>
  <si>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</si>
  <si>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</si>
  <si>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</si>
  <si>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</si>
  <si>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</si>
  <si>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</si>
  <si>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</si>
  <si>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</si>
  <si>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</si>
  <si>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</si>
  <si>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</si>
  <si>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</si>
  <si>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</si>
  <si>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</si>
  <si>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</si>
  <si>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</si>
  <si>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</si>
  <si>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</si>
  <si>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</si>
  <si>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</si>
  <si>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</si>
  <si>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</si>
  <si>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</si>
  <si>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</si>
  <si>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</si>
  <si>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</si>
  <si>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</si>
  <si>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</si>
  <si>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</si>
  <si>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</si>
  <si>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</si>
  <si>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</si>
  <si>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</si>
  <si>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</si>
  <si>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</si>
  <si>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</si>
  <si>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</si>
  <si>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</si>
  <si>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</si>
  <si>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</si>
  <si>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</si>
  <si>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</si>
  <si>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</si>
  <si>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</si>
  <si>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</si>
  <si>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</si>
  <si>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</si>
  <si>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</si>
  <si>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</si>
  <si>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</si>
  <si>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</si>
  <si>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</si>
  <si>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</si>
  <si>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</si>
  <si>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</si>
  <si>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</si>
  <si>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</si>
  <si>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</si>
  <si>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</si>
  <si>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</si>
  <si>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</si>
  <si>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</si>
  <si>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</si>
  <si>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</si>
  <si>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</si>
  <si>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</si>
  <si>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</si>
  <si>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</si>
  <si>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</si>
  <si>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</si>
  <si>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</si>
  <si>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</si>
  <si>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</si>
  <si>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</si>
  <si>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</si>
  <si>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</si>
  <si>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</si>
  <si>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</si>
  <si>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</si>
  <si>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</si>
  <si>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</si>
  <si>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</si>
  <si>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</si>
  <si>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</si>
  <si>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</si>
  <si>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</si>
  <si>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</si>
  <si>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</si>
  <si>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</si>
  <si>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</si>
  <si>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</si>
  <si>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</si>
  <si>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</si>
  <si>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</si>
  <si>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</si>
  <si>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</si>
  <si>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</si>
  <si>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</si>
  <si>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</si>
  <si>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</si>
  <si>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</si>
  <si>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</si>
  <si>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</si>
  <si>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</si>
  <si>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</si>
  <si>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</si>
  <si>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</si>
  <si>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</si>
  <si>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</si>
  <si>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</si>
  <si>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</si>
  <si>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</si>
  <si>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</si>
  <si>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</si>
  <si>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</si>
  <si>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</si>
  <si>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</si>
  <si>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</si>
  <si>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</si>
  <si>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</si>
  <si>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</si>
  <si>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</si>
  <si>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</si>
  <si>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</si>
  <si>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</si>
  <si>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</si>
  <si>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</si>
  <si>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</si>
  <si>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</si>
  <si>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</si>
  <si>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</si>
  <si>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</si>
  <si>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</si>
  <si>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</si>
  <si>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</si>
  <si>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</si>
  <si>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</si>
  <si>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</si>
  <si>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</si>
  <si>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</si>
  <si>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</si>
  <si>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</si>
  <si>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</si>
  <si>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</si>
  <si>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</si>
  <si>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</si>
  <si>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</si>
  <si>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</si>
  <si>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</si>
  <si>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</si>
  <si>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</si>
  <si>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</si>
  <si>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</si>
  <si>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</si>
  <si>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</si>
  <si>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</si>
  <si>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</si>
  <si>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</si>
  <si>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</si>
  <si>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</si>
  <si>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</si>
  <si>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</si>
  <si>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</si>
  <si>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</si>
  <si>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</si>
  <si>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</si>
  <si>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</si>
  <si>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</si>
  <si>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</si>
  <si>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</si>
  <si>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</si>
  <si>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</si>
  <si>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</si>
  <si>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</si>
  <si>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</si>
  <si>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</si>
  <si>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</si>
  <si>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</si>
  <si>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</si>
  <si>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</si>
  <si>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</si>
  <si>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</si>
  <si>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</si>
  <si>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</si>
  <si>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</si>
  <si>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</si>
  <si>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</si>
  <si>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</si>
  <si>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</si>
  <si>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</si>
  <si>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</si>
  <si>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</si>
  <si>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</si>
  <si>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</si>
  <si>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</si>
  <si>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</si>
  <si>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</si>
  <si>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</si>
  <si>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</si>
  <si>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</si>
  <si>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</si>
  <si>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</si>
  <si>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</si>
  <si>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</si>
  <si>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</si>
  <si>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</si>
  <si>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</si>
  <si>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</si>
  <si>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</si>
  <si>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</si>
  <si>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</si>
  <si>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</si>
  <si>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</si>
  <si>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</si>
  <si>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</si>
  <si>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</si>
  <si>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</si>
  <si>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</si>
  <si>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</si>
  <si>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</si>
  <si>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</si>
  <si>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</si>
  <si>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</si>
  <si>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</si>
  <si>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</si>
  <si>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</si>
  <si>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</si>
  <si>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</si>
  <si>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</si>
  <si>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</si>
  <si>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</si>
  <si>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</si>
  <si>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</si>
  <si>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</si>
  <si>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</si>
  <si>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</si>
  <si>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</si>
  <si>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</si>
  <si>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</si>
  <si>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</si>
  <si>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</si>
  <si>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</si>
  <si>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</si>
  <si>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</si>
  <si>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</si>
  <si>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</si>
  <si>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</si>
  <si>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</si>
  <si>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</si>
  <si>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</si>
  <si>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</si>
  <si>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</si>
  <si>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</si>
  <si>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</si>
  <si>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</si>
  <si>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</si>
  <si>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</si>
  <si>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</si>
  <si>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</si>
  <si>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</si>
  <si>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</si>
  <si>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</si>
  <si>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</si>
  <si>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</si>
  <si>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</si>
  <si>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</si>
  <si>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</si>
  <si>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</si>
  <si>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</si>
  <si>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</si>
  <si>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</si>
  <si>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</si>
  <si>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</si>
  <si>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</si>
  <si>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</si>
  <si>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</si>
  <si>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</si>
  <si>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</si>
  <si>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</si>
  <si>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</si>
  <si>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</si>
  <si>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</si>
  <si>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</si>
  <si>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</si>
  <si>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</si>
  <si>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</si>
  <si>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</si>
  <si>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</si>
  <si>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</si>
  <si>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</si>
  <si>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</si>
  <si>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</si>
  <si>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</si>
  <si>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</si>
  <si>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</si>
  <si>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</si>
  <si>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</si>
  <si>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</si>
  <si>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</si>
  <si>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</si>
  <si>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</si>
  <si>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</si>
  <si>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</si>
  <si>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</si>
  <si>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</si>
  <si>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</si>
  <si>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</si>
  <si>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</si>
  <si>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</si>
  <si>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</si>
  <si>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</si>
  <si>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</si>
  <si>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</si>
  <si>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</si>
  <si>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</si>
  <si>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</si>
  <si>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</si>
  <si>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</si>
  <si>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</si>
  <si>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</si>
  <si>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</si>
  <si>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</si>
  <si>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</si>
  <si>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</si>
  <si>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</si>
  <si>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</si>
  <si>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</si>
  <si>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</si>
  <si>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</si>
  <si>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</si>
  <si>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</si>
  <si>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</si>
  <si>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</si>
  <si>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</si>
  <si>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</si>
  <si>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</si>
  <si>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</si>
  <si>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</si>
  <si>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</si>
  <si>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</si>
  <si>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</si>
  <si>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</si>
  <si>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</si>
  <si>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</si>
  <si>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</si>
  <si>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</si>
  <si>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</si>
  <si>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</si>
  <si>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</si>
  <si>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</si>
  <si>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</si>
  <si>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</si>
  <si>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</si>
  <si>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</si>
  <si>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</si>
  <si>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</si>
  <si>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</si>
  <si>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</si>
  <si>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</si>
  <si>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</si>
  <si>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</si>
  <si>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</si>
  <si>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</si>
  <si>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</si>
  <si>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</si>
  <si>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</si>
  <si>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</si>
  <si>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</si>
  <si>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</si>
  <si>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</si>
  <si>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</si>
  <si>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</si>
  <si>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</si>
  <si>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</si>
  <si>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</si>
  <si>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</si>
  <si>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</si>
  <si>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</si>
  <si>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</si>
  <si>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</si>
  <si>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</si>
  <si>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</si>
  <si>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</si>
  <si>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</si>
  <si>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</si>
  <si>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</si>
  <si>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</si>
  <si>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</si>
  <si>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</si>
  <si>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</si>
  <si>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</si>
  <si>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</si>
  <si>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</si>
  <si>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</si>
  <si>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</si>
  <si>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</si>
  <si>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</si>
  <si>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</si>
  <si>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</si>
  <si>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</si>
  <si>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</si>
  <si>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</si>
  <si>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</si>
  <si>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</si>
  <si>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</si>
  <si>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</si>
  <si>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</si>
  <si>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</si>
  <si>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</si>
  <si>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</si>
  <si>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</si>
  <si>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</si>
  <si>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</si>
  <si>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</si>
  <si>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</si>
  <si>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</si>
  <si>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</si>
  <si>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</si>
  <si>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</si>
  <si>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</si>
  <si>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</si>
  <si>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</si>
  <si>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</si>
  <si>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</si>
  <si>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</si>
  <si>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</si>
  <si>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</si>
  <si>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</si>
  <si>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</si>
  <si>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</si>
  <si>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</si>
  <si>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</si>
  <si>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</si>
  <si>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</si>
  <si>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</si>
  <si>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</si>
  <si>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</si>
  <si>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</si>
  <si>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</si>
  <si>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</si>
  <si>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</si>
  <si>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</si>
  <si>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</si>
  <si>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</si>
  <si>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</si>
  <si>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</si>
  <si>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</si>
  <si>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</si>
  <si>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</si>
  <si>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</si>
  <si>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</si>
  <si>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</si>
  <si>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</si>
  <si>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</si>
  <si>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</si>
  <si>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</si>
  <si>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</si>
  <si>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</si>
  <si>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</si>
  <si>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</si>
  <si>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</si>
  <si>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</si>
  <si>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</si>
  <si>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</si>
  <si>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</si>
  <si>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</si>
  <si>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</si>
  <si>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</si>
  <si>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</si>
  <si>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</si>
  <si>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</si>
  <si>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</si>
  <si>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</si>
  <si>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</si>
  <si>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</si>
  <si>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</si>
  <si>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</si>
  <si>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</si>
  <si>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</si>
  <si>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</si>
  <si>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</si>
  <si>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</si>
  <si>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</si>
  <si>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</si>
  <si>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</si>
  <si>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</si>
  <si>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</si>
  <si>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</si>
  <si>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</si>
  <si>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</si>
  <si>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</si>
  <si>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</si>
  <si>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</si>
  <si>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</si>
  <si>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</si>
  <si>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</si>
  <si>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</si>
  <si>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</si>
  <si>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</si>
  <si>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</si>
  <si>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</si>
  <si>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</si>
  <si>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</si>
  <si>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</si>
  <si>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</si>
  <si>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</si>
  <si>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</si>
  <si>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</si>
  <si>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</si>
  <si>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</si>
  <si>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</si>
  <si>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</si>
  <si>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</si>
  <si>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</si>
  <si>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</si>
  <si>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</si>
  <si>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</si>
  <si>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</si>
  <si>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</si>
  <si>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</si>
  <si>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</si>
  <si>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</si>
  <si>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</si>
  <si>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</si>
  <si>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</si>
  <si>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</si>
  <si>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</si>
  <si>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</si>
  <si>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</si>
  <si>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</si>
  <si>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</si>
  <si>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</si>
  <si>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</si>
  <si>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</si>
  <si>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</si>
  <si>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</si>
  <si>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</si>
  <si>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</si>
  <si>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</si>
  <si>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</si>
  <si>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</si>
  <si>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</si>
  <si>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</si>
  <si>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</si>
  <si>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</si>
  <si>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</si>
  <si>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</si>
  <si>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</si>
  <si>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</si>
  <si>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</si>
  <si>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</si>
  <si>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</si>
  <si>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</si>
  <si>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</si>
  <si>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</si>
  <si>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</si>
  <si>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</si>
  <si>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</si>
  <si>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</si>
  <si>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</si>
  <si>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</si>
  <si>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</si>
  <si>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</si>
  <si>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</si>
  <si>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</si>
  <si>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</si>
  <si>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</si>
  <si>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</si>
  <si>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</si>
  <si>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</si>
  <si>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</si>
  <si>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</si>
  <si>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</si>
  <si>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</si>
  <si>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</si>
  <si>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</si>
  <si>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</si>
  <si>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</si>
  <si>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</si>
  <si>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</si>
  <si>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</si>
  <si>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</si>
  <si>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</si>
  <si>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</si>
  <si>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</si>
  <si>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</si>
  <si>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</si>
  <si>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</si>
  <si>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</si>
  <si>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</si>
  <si>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</si>
  <si>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</si>
  <si>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</si>
  <si>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</si>
  <si>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</si>
  <si>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</si>
  <si>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</si>
  <si>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</si>
  <si>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</si>
  <si>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</si>
  <si>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</si>
  <si>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</si>
  <si>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</si>
  <si>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</si>
  <si>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</si>
  <si>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</si>
  <si>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</si>
  <si>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</si>
  <si>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</si>
  <si>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</si>
  <si>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</si>
  <si>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</si>
  <si>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</si>
  <si>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</si>
  <si>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</si>
  <si>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</si>
  <si>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</si>
  <si>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</si>
  <si>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</si>
  <si>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</si>
  <si>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</si>
  <si>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</si>
  <si>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</si>
  <si>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</si>
  <si>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</si>
  <si>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</si>
  <si>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</si>
  <si>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</si>
  <si>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</si>
  <si>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</si>
  <si>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</si>
  <si>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</si>
  <si>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</si>
  <si>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</si>
  <si>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</si>
  <si>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</si>
  <si>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</si>
  <si>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</si>
  <si>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</si>
  <si>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</si>
  <si>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</si>
  <si>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</si>
  <si>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</si>
  <si>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</si>
  <si>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</si>
  <si>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</si>
  <si>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</si>
  <si>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</si>
  <si>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</si>
  <si>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</si>
  <si>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</si>
  <si>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</si>
  <si>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</si>
  <si>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</si>
  <si>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</si>
  <si>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</si>
  <si>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</si>
  <si>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</si>
  <si>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</si>
  <si>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</si>
  <si>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</si>
  <si>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</si>
  <si>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</si>
  <si>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</si>
  <si>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</si>
  <si>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</si>
  <si>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</si>
  <si>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</si>
  <si>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</si>
  <si>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</si>
  <si>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</si>
  <si>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</si>
  <si>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</si>
  <si>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</si>
  <si>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</si>
  <si>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</si>
  <si>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</si>
  <si>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</si>
  <si>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</si>
  <si>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</si>
  <si>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</si>
  <si>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</si>
  <si>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</si>
  <si>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</si>
  <si>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</si>
  <si>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</si>
  <si>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</si>
  <si>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</si>
  <si>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</si>
  <si>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</si>
  <si>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</si>
  <si>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</si>
  <si>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</si>
  <si>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</si>
  <si>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</si>
  <si>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</si>
  <si>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</si>
  <si>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</si>
  <si>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</si>
  <si>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</si>
  <si>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</si>
  <si>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</si>
  <si>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</si>
  <si>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</si>
  <si>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</si>
  <si>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</si>
  <si>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</si>
  <si>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</si>
  <si>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</si>
  <si>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</si>
  <si>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</si>
  <si>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</si>
  <si>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</si>
  <si>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</si>
  <si>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</si>
  <si>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</si>
  <si>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</si>
  <si>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</si>
  <si>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</si>
  <si>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</si>
  <si>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</si>
  <si>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</si>
  <si>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</si>
  <si>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</si>
  <si>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</si>
  <si>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</si>
  <si>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</si>
  <si>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</si>
  <si>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</si>
  <si>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</si>
  <si>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</si>
  <si>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</si>
  <si>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</si>
  <si>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</si>
  <si>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</si>
  <si>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</si>
  <si>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</si>
  <si>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</si>
  <si>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</si>
  <si>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</si>
  <si>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</si>
  <si>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</si>
  <si>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</si>
  <si>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</si>
  <si>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</si>
  <si>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</si>
  <si>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</si>
  <si>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</si>
  <si>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</si>
  <si>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</si>
  <si>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</si>
  <si>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</si>
  <si>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</si>
  <si>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</si>
  <si>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</si>
  <si>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</si>
  <si>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</si>
  <si>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</si>
  <si>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</si>
  <si>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</si>
  <si>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</si>
  <si>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</si>
  <si>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</si>
  <si>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</si>
  <si>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</si>
  <si>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</si>
  <si>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</si>
  <si>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</si>
  <si>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</si>
  <si>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</si>
  <si>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</si>
  <si>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</si>
  <si>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</si>
  <si>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</si>
  <si>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</si>
  <si>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</si>
  <si>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</si>
  <si>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</si>
  <si>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</si>
  <si>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</si>
  <si>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</si>
  <si>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</si>
  <si>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</si>
  <si>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</si>
  <si>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</si>
  <si>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</si>
  <si>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</si>
  <si>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</si>
  <si>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</si>
  <si>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</si>
  <si>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</si>
  <si>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</si>
  <si>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</si>
  <si>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</si>
  <si>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</si>
  <si>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</si>
  <si>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</si>
  <si>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</si>
  <si>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</si>
  <si>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</si>
  <si>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</si>
  <si>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</si>
  <si>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</si>
  <si>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</si>
  <si>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</si>
  <si>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</si>
  <si>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</si>
  <si>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</si>
  <si>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</si>
  <si>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</si>
  <si>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</si>
  <si>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</si>
  <si>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</si>
  <si>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</si>
  <si>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</si>
  <si>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</si>
  <si>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</si>
  <si>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</si>
  <si>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</si>
  <si>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</si>
  <si>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</si>
  <si>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</si>
  <si>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</si>
  <si>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</si>
  <si>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</si>
  <si>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</si>
  <si>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</si>
  <si>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</si>
  <si>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</si>
  <si>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</si>
  <si>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</si>
  <si>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</si>
  <si>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</si>
  <si>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</si>
  <si>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</si>
  <si>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</si>
  <si>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</si>
  <si>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</si>
  <si>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</si>
  <si>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</si>
  <si>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</si>
  <si>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</si>
  <si>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</si>
  <si>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</si>
  <si>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</si>
  <si>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</si>
  <si>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</si>
  <si>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</si>
  <si>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</si>
  <si>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</si>
  <si>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</si>
  <si>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</si>
  <si>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</si>
  <si>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</si>
  <si>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</si>
  <si>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</si>
  <si>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</si>
  <si>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</si>
  <si>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</si>
  <si>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</si>
  <si>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</si>
  <si>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</si>
  <si>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</si>
  <si>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</si>
  <si>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</si>
  <si>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</si>
  <si>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</si>
  <si>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</si>
  <si>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</si>
  <si>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</si>
  <si>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</si>
  <si>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</si>
  <si>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</si>
  <si>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</si>
  <si>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</si>
  <si>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</si>
  <si>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</si>
  <si>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</si>
  <si>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</si>
  <si>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</si>
  <si>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</si>
  <si>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</si>
  <si>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</si>
  <si>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</si>
  <si>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</si>
  <si>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</si>
  <si>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</si>
  <si>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</si>
  <si>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</si>
  <si>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</si>
  <si>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</si>
  <si>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</si>
  <si>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</si>
  <si>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</si>
  <si>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</si>
  <si>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</si>
  <si>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</si>
  <si>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</si>
  <si>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</si>
  <si>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</si>
  <si>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</si>
  <si>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</si>
  <si>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</si>
  <si>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</si>
  <si>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</si>
  <si>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</si>
  <si>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</si>
  <si>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</si>
  <si>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</si>
  <si>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</si>
  <si>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</si>
  <si>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</si>
  <si>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</si>
  <si>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</si>
  <si>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</si>
  <si>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</si>
  <si>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</si>
  <si>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</si>
  <si>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</si>
  <si>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</si>
  <si>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</si>
  <si>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</si>
  <si>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</si>
  <si>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</si>
  <si>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</si>
  <si>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</si>
  <si>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</si>
  <si>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</si>
  <si>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</si>
  <si>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</si>
  <si>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</si>
  <si>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</si>
  <si>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</si>
  <si>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</si>
  <si>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</si>
  <si>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</si>
  <si>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</si>
  <si>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</si>
  <si>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</si>
  <si>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</si>
  <si>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</si>
  <si>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</si>
  <si>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</si>
  <si>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</si>
  <si>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</si>
  <si>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</si>
  <si>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</si>
  <si>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</si>
  <si>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</si>
  <si>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</si>
  <si>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</si>
  <si>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</si>
  <si>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</si>
  <si>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</si>
  <si>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</si>
  <si>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</si>
  <si>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</si>
  <si>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</si>
  <si>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</si>
  <si>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</si>
  <si>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</si>
  <si>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</si>
  <si>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</si>
  <si>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</si>
  <si>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</si>
  <si>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</si>
  <si>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</si>
  <si>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</si>
  <si>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</si>
  <si>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</si>
  <si>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</si>
  <si>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</si>
  <si>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</si>
  <si>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</si>
  <si>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</si>
  <si>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</si>
  <si>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</si>
  <si>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</si>
  <si>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</si>
  <si>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</si>
  <si>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</si>
  <si>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</si>
  <si>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</si>
  <si>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</si>
  <si>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</si>
  <si>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</si>
  <si>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</si>
  <si>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</si>
  <si>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</si>
  <si>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</si>
  <si>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</si>
  <si>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</si>
  <si>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</si>
  <si>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</si>
  <si>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</si>
  <si>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</si>
  <si>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</si>
  <si>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</si>
  <si>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</si>
  <si>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</si>
  <si>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</si>
  <si>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</si>
  <si>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</si>
  <si>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</si>
  <si>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</si>
  <si>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</si>
  <si>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</si>
  <si>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</si>
  <si>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</si>
  <si>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</si>
  <si>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</si>
  <si>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</si>
  <si>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</si>
  <si>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</si>
  <si>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</si>
  <si>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</si>
  <si>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</si>
  <si>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</si>
  <si>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</si>
  <si>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</si>
  <si>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</si>
  <si>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</si>
  <si>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</si>
  <si>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</si>
  <si>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</si>
  <si>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</si>
  <si>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</si>
  <si>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</si>
  <si>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</si>
  <si>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</si>
  <si>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</si>
  <si>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</si>
  <si>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</si>
  <si>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</si>
  <si>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</si>
  <si>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</si>
  <si>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</si>
  <si>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</si>
  <si>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</si>
  <si>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</si>
  <si>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</si>
  <si>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</si>
  <si>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</si>
  <si>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</si>
  <si>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</si>
  <si>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</si>
  <si>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</si>
  <si>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</si>
  <si>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</si>
  <si>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</si>
  <si>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</si>
  <si>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</si>
  <si>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</si>
  <si>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</si>
  <si>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</si>
  <si>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</si>
  <si>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</si>
  <si>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</si>
  <si>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</si>
  <si>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</si>
  <si>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</si>
  <si>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</si>
  <si>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</si>
  <si>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</si>
  <si>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</si>
  <si>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</si>
  <si>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</si>
  <si>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</si>
  <si>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</si>
  <si>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</si>
  <si>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</si>
  <si>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</si>
  <si>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</si>
  <si>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</si>
  <si>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</si>
  <si>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</si>
  <si>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</si>
  <si>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</si>
  <si>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</si>
  <si>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</si>
  <si>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</si>
  <si>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</si>
  <si>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</si>
  <si>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</si>
  <si>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</si>
  <si>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</si>
  <si>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</si>
  <si>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</si>
  <si>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</si>
  <si>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</si>
  <si>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</si>
  <si>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</si>
  <si>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</si>
  <si>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</si>
  <si>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</si>
  <si>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</si>
  <si>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</si>
  <si>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</si>
  <si>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</si>
  <si>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</si>
  <si>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</si>
  <si>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</si>
  <si>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</si>
  <si>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</si>
  <si>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</si>
  <si>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</si>
  <si>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</si>
  <si>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</si>
  <si>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</si>
  <si>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</si>
  <si>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</si>
  <si>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</si>
  <si>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</si>
  <si>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</si>
  <si>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</si>
  <si>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</si>
  <si>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</si>
  <si>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</si>
  <si>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</si>
  <si>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</si>
  <si>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</si>
  <si>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</si>
  <si>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</si>
  <si>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</si>
  <si>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</si>
  <si>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</si>
  <si>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</si>
  <si>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</si>
  <si>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</si>
  <si>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</si>
  <si>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</si>
  <si>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</si>
  <si>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</si>
  <si>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</si>
  <si>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</si>
  <si>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</si>
  <si>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</si>
  <si>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</si>
  <si>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</si>
  <si>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</si>
  <si>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</si>
  <si>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</si>
  <si>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</si>
  <si>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</si>
  <si>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</si>
  <si>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</si>
  <si>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</si>
  <si>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</si>
  <si>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</si>
  <si>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</si>
  <si>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</si>
  <si>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</si>
  <si>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</si>
  <si>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</si>
  <si>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</si>
  <si>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</si>
  <si>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</si>
  <si>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</si>
  <si>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</si>
  <si>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</si>
  <si>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</si>
  <si>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</si>
  <si>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</si>
  <si>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</si>
  <si>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</si>
  <si>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</si>
  <si>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</si>
  <si>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</si>
  <si>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</si>
  <si>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</si>
  <si>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</si>
  <si>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</si>
  <si>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</si>
  <si>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</si>
  <si>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</si>
  <si>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</si>
  <si>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</si>
  <si>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</si>
  <si>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</si>
  <si>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</si>
  <si>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</si>
  <si>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</si>
  <si>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</si>
  <si>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</si>
  <si>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</si>
  <si>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</si>
  <si>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</si>
  <si>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</si>
  <si>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</si>
  <si>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</si>
  <si>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</si>
  <si>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</si>
  <si>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</si>
  <si>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</si>
  <si>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</si>
  <si>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</si>
  <si>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</si>
  <si>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</si>
  <si>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</si>
  <si>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</si>
  <si>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</si>
  <si>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</si>
  <si>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</si>
  <si>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</si>
  <si>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</si>
  <si>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</si>
  <si>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</si>
  <si>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</si>
  <si>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</si>
  <si>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</si>
  <si>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</si>
  <si>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</si>
  <si>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</si>
  <si>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</si>
  <si>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</si>
  <si>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</si>
  <si>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</si>
  <si>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</si>
  <si>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</si>
  <si>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</si>
  <si>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</si>
  <si>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</si>
  <si>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</si>
  <si>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</si>
  <si>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</si>
  <si>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</si>
  <si>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</si>
  <si>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</si>
  <si>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</si>
  <si>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</si>
  <si>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</si>
  <si>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</si>
  <si>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</si>
  <si>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</si>
  <si>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</si>
  <si>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</si>
  <si>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</si>
  <si>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</si>
  <si>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</si>
  <si>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</si>
  <si>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</si>
  <si>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</si>
  <si>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</si>
  <si>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</si>
  <si>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</si>
  <si>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</si>
  <si>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</si>
  <si>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</si>
  <si>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</si>
  <si>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</si>
  <si>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</si>
  <si>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</si>
  <si>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</si>
  <si>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</si>
  <si>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</si>
  <si>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</si>
  <si>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</si>
  <si>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</si>
  <si>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</si>
  <si>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</si>
  <si>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</si>
  <si>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</si>
  <si>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</si>
  <si>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</si>
  <si>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</si>
  <si>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</si>
  <si>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</si>
  <si>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</si>
  <si>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</si>
  <si>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</si>
  <si>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</si>
  <si>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</si>
  <si>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</si>
  <si>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</si>
  <si>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</si>
  <si>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</si>
  <si>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</si>
  <si>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</si>
  <si>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</si>
  <si>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</si>
  <si>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</si>
  <si>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</si>
  <si>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</si>
  <si>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</si>
  <si>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</si>
  <si>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</si>
  <si>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</si>
  <si>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</si>
  <si>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</si>
  <si>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</si>
  <si>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</si>
  <si>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</si>
  <si>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</si>
  <si>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</si>
  <si>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</si>
  <si>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</si>
  <si>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</si>
  <si>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</si>
  <si>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</si>
  <si>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</si>
  <si>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</si>
  <si>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</si>
  <si>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</si>
  <si>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</si>
  <si>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</si>
  <si>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</si>
  <si>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</si>
  <si>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</si>
  <si>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</si>
  <si>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</si>
  <si>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</si>
  <si>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</si>
  <si>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</si>
  <si>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</si>
  <si>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</si>
  <si>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</si>
  <si>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</si>
  <si>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</si>
  <si>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</si>
  <si>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</si>
  <si>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</si>
  <si>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</si>
  <si>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</si>
  <si>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</si>
  <si>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</si>
  <si>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</si>
  <si>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</si>
  <si>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</si>
  <si>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</si>
  <si>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</si>
  <si>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</si>
  <si>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</si>
  <si>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</si>
  <si>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</si>
  <si>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</si>
  <si>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</si>
  <si>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</si>
  <si>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</si>
  <si>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</si>
  <si>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</si>
  <si>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</si>
  <si>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</si>
  <si>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</si>
  <si>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</si>
  <si>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</si>
  <si>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</si>
  <si>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</si>
  <si>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</si>
  <si>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</si>
  <si>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</si>
  <si>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</si>
  <si>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</si>
  <si>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</si>
  <si>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</si>
  <si>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</si>
  <si>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</si>
  <si>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</si>
  <si>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</si>
  <si>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</si>
  <si>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</si>
  <si>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</si>
  <si>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</si>
  <si>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</si>
  <si>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</si>
  <si>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</si>
  <si>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</si>
  <si>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</si>
  <si>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</si>
  <si>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</si>
  <si>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</si>
  <si>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</si>
  <si>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</si>
  <si>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</si>
  <si>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</si>
  <si>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</si>
  <si>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</si>
  <si>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</si>
  <si>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</si>
  <si>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</si>
  <si>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</si>
  <si>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</si>
  <si>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</si>
  <si>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</si>
  <si>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</si>
  <si>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</si>
  <si>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</si>
  <si>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</si>
  <si>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</si>
  <si>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</si>
  <si>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</si>
  <si>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</si>
  <si>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</si>
  <si>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</si>
  <si>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</si>
  <si>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</si>
  <si>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</si>
  <si>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</si>
  <si>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</si>
  <si>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</si>
  <si>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</si>
  <si>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</si>
  <si>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</si>
  <si>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</si>
  <si>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</si>
  <si>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</si>
  <si>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</si>
  <si>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</si>
  <si>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</si>
  <si>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</si>
  <si>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</si>
  <si>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</si>
  <si>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</si>
  <si>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</si>
  <si>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</si>
  <si>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</si>
  <si>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</si>
  <si>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</si>
  <si>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</si>
  <si>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</si>
  <si>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</si>
  <si>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</si>
  <si>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</si>
  <si>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</si>
  <si>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</si>
  <si>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</si>
  <si>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</si>
  <si>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</si>
  <si>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</si>
  <si>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</si>
  <si>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</si>
  <si>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</si>
  <si>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</si>
  <si>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</si>
  <si>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</si>
  <si>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</si>
  <si>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</si>
  <si>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</si>
  <si>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</si>
  <si>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</si>
  <si>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</si>
  <si>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</si>
  <si>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</si>
  <si>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</si>
  <si>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</si>
  <si>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</si>
  <si>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</si>
  <si>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</si>
  <si>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</si>
  <si>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</si>
  <si>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</si>
  <si>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</si>
  <si>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</si>
  <si>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</si>
  <si>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</si>
  <si>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</si>
  <si>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</si>
  <si>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</si>
  <si>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</si>
  <si>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</si>
  <si>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</si>
  <si>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</si>
  <si>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</si>
  <si>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</si>
  <si>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</si>
  <si>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</si>
  <si>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</si>
  <si>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</si>
  <si>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</si>
  <si>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</si>
  <si>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</si>
  <si>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</si>
  <si>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</si>
  <si>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</si>
  <si>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</si>
  <si>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</si>
  <si>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</si>
  <si>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</si>
  <si>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</si>
  <si>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</si>
  <si>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</si>
  <si>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</si>
  <si>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</si>
  <si>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</si>
  <si>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</si>
  <si>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</si>
  <si>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</si>
  <si>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</si>
  <si>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</si>
  <si>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</si>
  <si>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</si>
  <si>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</si>
  <si>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</si>
  <si>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</si>
  <si>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</si>
  <si>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</si>
  <si>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</si>
  <si>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</si>
  <si>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</si>
  <si>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</si>
  <si>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</si>
  <si>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</si>
  <si>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</si>
  <si>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</si>
  <si>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</si>
  <si>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</si>
  <si>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</si>
  <si>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</si>
  <si>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</si>
  <si>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</si>
  <si>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</si>
  <si>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</si>
  <si>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</si>
  <si>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</si>
  <si>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</si>
  <si>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</si>
  <si>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</si>
  <si>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</si>
  <si>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</si>
  <si>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</si>
  <si>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</si>
  <si>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</si>
  <si>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</si>
  <si>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</si>
  <si>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</si>
  <si>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</si>
  <si>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</si>
  <si>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</si>
  <si>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</si>
  <si>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</si>
  <si>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</si>
  <si>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</si>
  <si>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</si>
  <si>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</si>
  <si>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</si>
  <si>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</si>
  <si>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</si>
  <si>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</si>
  <si>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</si>
  <si>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</si>
  <si>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</si>
  <si>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</si>
  <si>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</si>
  <si>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</si>
  <si>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</si>
  <si>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</si>
  <si>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</si>
  <si>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</si>
  <si>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</si>
  <si>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</si>
  <si>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</si>
  <si>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</si>
  <si>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</si>
  <si>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</si>
  <si>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</si>
  <si>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</si>
  <si>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</si>
  <si>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</si>
  <si>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</si>
  <si>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</si>
  <si>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</si>
  <si>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</si>
  <si>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</si>
  <si>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</si>
  <si>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</si>
  <si>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</si>
  <si>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</si>
  <si>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</si>
  <si>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</si>
  <si>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</si>
  <si>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</si>
  <si>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</si>
  <si>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</si>
  <si>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</si>
  <si>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</si>
  <si>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</si>
  <si>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</si>
  <si>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</si>
  <si>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</si>
  <si>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</si>
  <si>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</si>
  <si>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</si>
  <si>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</si>
  <si>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</si>
  <si>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</si>
  <si>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</si>
  <si>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</si>
  <si>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</si>
  <si>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</si>
  <si>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</si>
  <si>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</si>
  <si>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</si>
  <si>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</si>
  <si>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</si>
  <si>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</si>
  <si>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</si>
  <si>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</si>
  <si>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</si>
  <si>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</si>
  <si>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</si>
  <si>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</si>
  <si>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</si>
  <si>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</si>
  <si>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</si>
  <si>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</si>
  <si>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</si>
  <si>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</si>
  <si>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</si>
  <si>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</si>
  <si>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</si>
  <si>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</si>
  <si>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</si>
  <si>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</si>
  <si>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</si>
  <si>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</si>
  <si>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</si>
  <si>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</si>
  <si>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</si>
  <si>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</si>
  <si>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</si>
  <si>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</si>
  <si>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</si>
  <si>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</si>
  <si>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</si>
  <si>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</si>
  <si>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</si>
  <si>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</si>
  <si>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</si>
  <si>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</si>
  <si>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</si>
  <si>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</si>
  <si>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</si>
  <si>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</si>
  <si>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</si>
  <si>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</si>
  <si>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</si>
  <si>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</si>
  <si>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</si>
  <si>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</si>
  <si>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</si>
  <si>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</si>
  <si>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</si>
  <si>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</si>
  <si>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</si>
  <si>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</si>
  <si>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</si>
  <si>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</si>
  <si>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</si>
  <si>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</si>
  <si>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</si>
  <si>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</si>
  <si>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</si>
  <si>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</si>
  <si>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</si>
  <si>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</si>
  <si>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</si>
  <si>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</si>
  <si>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</si>
  <si>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</si>
  <si>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</si>
  <si>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</si>
  <si>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</si>
  <si>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</si>
  <si>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</si>
  <si>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</si>
  <si>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</si>
  <si>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</si>
  <si>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</si>
  <si>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</si>
  <si>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</si>
  <si>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</si>
  <si>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</si>
  <si>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</si>
  <si>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</si>
  <si>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</si>
  <si>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</si>
  <si>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</si>
  <si>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</si>
  <si>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</si>
  <si>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</si>
  <si>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</si>
  <si>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</si>
  <si>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</si>
  <si>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</si>
  <si>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</si>
  <si>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</si>
  <si>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</si>
  <si>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</si>
  <si>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</si>
  <si>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</si>
  <si>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</si>
  <si>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</si>
  <si>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</si>
  <si>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</si>
  <si>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</si>
  <si>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</si>
  <si>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</si>
  <si>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</si>
  <si>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</si>
  <si>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</si>
  <si>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</si>
  <si>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</si>
  <si>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</si>
  <si>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</si>
  <si>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</si>
  <si>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</si>
  <si>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</si>
  <si>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</si>
  <si>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</si>
  <si>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</si>
  <si>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</si>
  <si>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</si>
  <si>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</si>
  <si>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</si>
  <si>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</si>
  <si>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</si>
  <si>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</si>
  <si>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</si>
  <si>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</si>
  <si>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</si>
  <si>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</si>
  <si>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</si>
  <si>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</si>
  <si>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</si>
  <si>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</si>
  <si>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</si>
  <si>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</si>
  <si>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</si>
  <si>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</si>
  <si>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</si>
  <si>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</si>
  <si>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</si>
  <si>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</si>
  <si>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</si>
  <si>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</si>
  <si>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</si>
  <si>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</si>
  <si>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</si>
  <si>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</si>
  <si>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</si>
  <si>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</si>
  <si>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</si>
  <si>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</si>
  <si>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</si>
  <si>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</si>
  <si>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</si>
  <si>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</si>
  <si>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</si>
  <si>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</si>
  <si>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</si>
  <si>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</si>
  <si>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</si>
  <si>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</si>
  <si>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</si>
  <si>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</si>
  <si>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</si>
  <si>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</si>
  <si>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</si>
  <si>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</si>
  <si>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</si>
  <si>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</si>
  <si>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</si>
  <si>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</si>
  <si>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</si>
  <si>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</si>
  <si>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</si>
  <si>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</si>
  <si>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</si>
  <si>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</si>
  <si>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</si>
  <si>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</si>
  <si>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</si>
  <si>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</si>
  <si>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</si>
  <si>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</si>
  <si>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</si>
  <si>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</si>
  <si>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</si>
  <si>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</si>
  <si>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</si>
  <si>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</si>
  <si>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</si>
  <si>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</si>
  <si>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</si>
  <si>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</si>
  <si>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</si>
  <si>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</si>
  <si>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</si>
  <si>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</si>
  <si>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</si>
  <si>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</si>
  <si>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</si>
  <si>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</si>
  <si>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</si>
  <si>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</si>
  <si>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</si>
  <si>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</si>
  <si>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</si>
  <si>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</si>
  <si>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</si>
  <si>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</si>
  <si>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</si>
  <si>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</si>
  <si>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</si>
  <si>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</si>
  <si>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</si>
  <si>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</si>
  <si>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</si>
  <si>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</si>
  <si>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</si>
  <si>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</si>
  <si>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</si>
  <si>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</si>
  <si>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</si>
  <si>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</si>
  <si>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</si>
  <si>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</si>
  <si>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</si>
  <si>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</si>
  <si>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</si>
  <si>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</si>
  <si>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</si>
  <si>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</si>
  <si>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</si>
  <si>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</si>
  <si>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</si>
  <si>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</si>
  <si>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</si>
  <si>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</si>
  <si>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</si>
  <si>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</si>
  <si>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</si>
  <si>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</si>
  <si>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</si>
  <si>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</si>
  <si>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</si>
  <si>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</si>
  <si>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</si>
  <si>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</si>
  <si>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</si>
  <si>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</si>
  <si>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</si>
  <si>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</si>
  <si>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</si>
  <si>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</si>
  <si>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</si>
  <si>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</si>
  <si>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</si>
  <si>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</si>
  <si>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</si>
  <si>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</si>
  <si>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</si>
  <si>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</si>
  <si>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</si>
  <si>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</si>
  <si>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</si>
  <si>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</si>
  <si>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</si>
  <si>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</si>
  <si>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</si>
  <si>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</si>
  <si>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</si>
  <si>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</si>
  <si>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</si>
  <si>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</si>
  <si>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</si>
  <si>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</si>
  <si>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</si>
  <si>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</si>
  <si>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</si>
  <si>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</si>
  <si>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</si>
  <si>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</si>
  <si>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</si>
  <si>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</si>
  <si>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</si>
  <si>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</si>
  <si>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</si>
  <si>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</si>
  <si>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</si>
  <si>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</si>
  <si>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</si>
  <si>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</si>
  <si>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</si>
  <si>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</si>
  <si>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</si>
  <si>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</si>
  <si>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</si>
  <si>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</si>
  <si>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</si>
  <si>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</si>
  <si>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</si>
  <si>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</si>
  <si>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</si>
  <si>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</si>
  <si>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</si>
  <si>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</si>
  <si>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</si>
  <si>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</si>
  <si>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</si>
  <si>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</si>
  <si>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</si>
  <si>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</si>
  <si>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</si>
  <si>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</si>
  <si>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</si>
  <si>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</si>
  <si>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</si>
  <si>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</si>
  <si>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</si>
  <si>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</si>
  <si>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</si>
  <si>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</si>
  <si>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</si>
  <si>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</si>
  <si>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</si>
  <si>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</si>
  <si>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</si>
  <si>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</si>
  <si>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</si>
  <si>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</si>
  <si>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</si>
  <si>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</si>
  <si>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</si>
  <si>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</si>
  <si>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</si>
  <si>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</si>
  <si>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</si>
  <si>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</si>
  <si>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</si>
  <si>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</si>
  <si>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</si>
  <si>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</si>
  <si>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</si>
  <si>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</si>
  <si>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</si>
  <si>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</si>
  <si>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</si>
  <si>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</si>
  <si>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</si>
  <si>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</si>
  <si>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</si>
  <si>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</si>
  <si>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</si>
  <si>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</si>
  <si>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</si>
  <si>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</si>
  <si>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</si>
  <si>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</si>
  <si>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</si>
  <si>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</si>
  <si>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</si>
  <si>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</si>
  <si>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</si>
  <si>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</si>
  <si>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</si>
  <si>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</si>
  <si>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</si>
  <si>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</si>
  <si>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</si>
  <si>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</si>
  <si>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</si>
  <si>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</si>
  <si>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</si>
  <si>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</si>
  <si>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</si>
  <si>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</si>
  <si>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</si>
  <si>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</si>
  <si>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</si>
  <si>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</si>
  <si>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</si>
  <si>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</si>
  <si>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</si>
  <si>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</si>
  <si>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</si>
  <si>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</si>
  <si>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</si>
  <si>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</si>
  <si>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</si>
  <si>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</si>
  <si>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</si>
  <si>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</si>
  <si>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</si>
  <si>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</si>
  <si>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</si>
  <si>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</si>
  <si>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</si>
  <si>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</si>
  <si>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</si>
  <si>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</si>
  <si>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</si>
  <si>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</si>
  <si>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</si>
  <si>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</si>
  <si>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</si>
  <si>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</si>
  <si>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</si>
  <si>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</si>
  <si>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</si>
  <si>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</si>
  <si>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</si>
  <si>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</si>
  <si>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</si>
  <si>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</si>
  <si>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</si>
  <si>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</si>
  <si>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</si>
  <si>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</si>
  <si>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</si>
  <si>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</si>
  <si>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</si>
  <si>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</si>
  <si>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</si>
  <si>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</si>
  <si>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</si>
  <si>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</si>
  <si>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</si>
  <si>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</si>
  <si>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</si>
  <si>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</si>
  <si>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</si>
  <si>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</si>
  <si>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</si>
  <si>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</si>
  <si>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</si>
  <si>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</si>
  <si>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</si>
  <si>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</si>
  <si>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</si>
  <si>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</si>
  <si>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</si>
  <si>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</si>
  <si>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</si>
  <si>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</si>
  <si>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</si>
  <si>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</si>
  <si>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</si>
  <si>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</si>
  <si>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</si>
  <si>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</si>
  <si>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</si>
  <si>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</si>
  <si>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</si>
  <si>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</si>
  <si>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</si>
  <si>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</si>
  <si>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</si>
  <si>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</si>
  <si>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</si>
  <si>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</si>
  <si>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</si>
  <si>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</si>
  <si>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</si>
  <si>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</si>
  <si>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</si>
  <si>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</si>
  <si>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</si>
  <si>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</si>
  <si>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</si>
  <si>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</si>
  <si>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</si>
  <si>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</si>
  <si>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</si>
  <si>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</si>
  <si>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</si>
  <si>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</si>
  <si>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</si>
  <si>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</si>
  <si>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</si>
  <si>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</si>
  <si>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</si>
  <si>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</si>
  <si>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</si>
  <si>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</si>
  <si>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</si>
  <si>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</si>
  <si>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</si>
  <si>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</si>
  <si>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</si>
  <si>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</si>
  <si>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</si>
  <si>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</si>
  <si>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</si>
  <si>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</si>
  <si>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</si>
  <si>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</si>
  <si>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</si>
  <si>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</si>
  <si>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</si>
  <si>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</si>
  <si>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</si>
  <si>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</si>
  <si>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</si>
  <si>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</si>
  <si>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</si>
  <si>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</si>
  <si>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</si>
  <si>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</si>
  <si>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</si>
  <si>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</si>
  <si>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</si>
  <si>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</si>
  <si>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</si>
  <si>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</si>
  <si>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</si>
  <si>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</si>
  <si>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</si>
  <si>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</si>
  <si>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</si>
  <si>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</si>
  <si>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</si>
  <si>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</si>
  <si>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</si>
  <si>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</si>
  <si>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</si>
  <si>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</si>
  <si>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</si>
  <si>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</si>
  <si>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</si>
  <si>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</si>
  <si>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</si>
  <si>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</si>
  <si>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</si>
  <si>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</si>
  <si>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</si>
  <si>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</si>
  <si>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</si>
  <si>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</si>
  <si>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</si>
  <si>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</si>
  <si>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</si>
  <si>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</si>
  <si>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</si>
  <si>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</si>
  <si>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</si>
  <si>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</si>
  <si>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</si>
  <si>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</si>
  <si>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</si>
  <si>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</si>
  <si>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</si>
  <si>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</si>
  <si>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</si>
  <si>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</si>
  <si>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</si>
  <si>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</si>
  <si>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</si>
  <si>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</si>
  <si>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</si>
  <si>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</si>
  <si>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</si>
  <si>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</si>
  <si>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</si>
  <si>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</si>
  <si>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</si>
  <si>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</si>
  <si>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</si>
  <si>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</si>
  <si>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</si>
  <si>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</si>
  <si>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</si>
  <si>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</si>
  <si>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</si>
  <si>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</si>
  <si>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</si>
  <si>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</si>
  <si>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</si>
  <si>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</si>
  <si>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</si>
  <si>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</si>
  <si>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</si>
  <si>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</si>
  <si>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</si>
  <si>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</si>
  <si>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</si>
  <si>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</si>
  <si>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</si>
  <si>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</si>
  <si>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</si>
  <si>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</si>
  <si>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</si>
  <si>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</si>
  <si>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</si>
  <si>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</si>
  <si>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</si>
  <si>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</si>
  <si>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</si>
  <si>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</si>
  <si>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</si>
  <si>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</si>
  <si>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</si>
  <si>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</si>
  <si>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</si>
  <si>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</si>
  <si>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</si>
  <si>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</si>
  <si>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</si>
  <si>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</si>
  <si>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</si>
  <si>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</si>
  <si>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</si>
  <si>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</si>
  <si>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</si>
  <si>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</si>
  <si>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</si>
  <si>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</si>
  <si>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</si>
  <si>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</si>
  <si>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</si>
  <si>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</si>
  <si>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</si>
  <si>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</si>
  <si>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</si>
  <si>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</si>
  <si>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</si>
  <si>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</si>
  <si>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</si>
  <si>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</si>
  <si>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</si>
  <si>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</si>
  <si>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</si>
  <si>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</si>
  <si>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</si>
  <si>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</si>
  <si>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</si>
  <si>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</si>
  <si>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</si>
  <si>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</si>
  <si>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</si>
  <si>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</si>
  <si>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</si>
  <si>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</si>
  <si>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</si>
  <si>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</si>
  <si>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</si>
  <si>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</si>
  <si>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</si>
  <si>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</si>
  <si>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</si>
  <si>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</si>
  <si>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</si>
  <si>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</si>
  <si>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</si>
  <si>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</si>
  <si>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</si>
  <si>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</si>
  <si>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</si>
  <si>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</si>
  <si>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</si>
  <si>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</si>
  <si>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</si>
  <si>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</si>
  <si>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</si>
  <si>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</si>
  <si>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</si>
  <si>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</si>
  <si>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</si>
  <si>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</si>
  <si>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</si>
  <si>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</si>
  <si>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</si>
  <si>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</si>
  <si>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</si>
  <si>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</si>
  <si>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</si>
  <si>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</si>
  <si>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</si>
  <si>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</si>
  <si>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</si>
  <si>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</si>
  <si>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</si>
  <si>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</si>
  <si>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</si>
  <si>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</si>
  <si>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</si>
  <si>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</si>
  <si>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</si>
  <si>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</si>
  <si>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</si>
  <si>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</si>
  <si>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</si>
  <si>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</si>
  <si>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</si>
  <si>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</si>
  <si>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</si>
  <si>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</si>
  <si>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</si>
  <si>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</si>
  <si>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</si>
  <si>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</si>
  <si>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</si>
  <si>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</si>
  <si>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</si>
  <si>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</si>
  <si>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</si>
  <si>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</si>
  <si>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</si>
  <si>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</si>
  <si>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</si>
  <si>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</si>
  <si>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</si>
  <si>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</si>
  <si>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</si>
  <si>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</si>
  <si>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</si>
  <si>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</si>
  <si>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</si>
  <si>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</si>
  <si>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</si>
  <si>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</si>
  <si>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</si>
  <si>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</si>
  <si>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</si>
  <si>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</si>
  <si>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</si>
  <si>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</si>
  <si>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</si>
  <si>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</si>
  <si>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</si>
  <si>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</si>
  <si>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</si>
  <si>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</si>
  <si>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</si>
  <si>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</si>
  <si>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</si>
  <si>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</si>
  <si>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</si>
  <si>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</si>
  <si>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</si>
  <si>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</si>
  <si>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</si>
  <si>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</si>
  <si>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</si>
  <si>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</si>
  <si>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</si>
  <si>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</si>
  <si>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</si>
  <si>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</si>
  <si>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</si>
  <si>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</si>
  <si>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</si>
  <si>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</si>
  <si>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</si>
  <si>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</si>
  <si>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</si>
  <si>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</si>
  <si>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</si>
  <si>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</si>
  <si>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</si>
  <si>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</si>
  <si>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</si>
  <si>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</si>
  <si>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</si>
  <si>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</si>
  <si>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</si>
  <si>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</si>
  <si>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</si>
  <si>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</si>
  <si>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</si>
  <si>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</si>
  <si>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</si>
  <si>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</si>
  <si>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</si>
  <si>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</si>
  <si>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</si>
  <si>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</si>
  <si>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</si>
  <si>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</si>
  <si>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</si>
  <si>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</si>
  <si>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</si>
  <si>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</si>
  <si>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</si>
  <si>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</si>
  <si>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</si>
  <si>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</si>
  <si>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</si>
  <si>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</si>
  <si>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</si>
  <si>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</si>
  <si>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</si>
  <si>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</si>
  <si>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</si>
  <si>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</si>
  <si>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</si>
  <si>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</si>
  <si>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</si>
  <si>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</si>
  <si>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</si>
  <si>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</si>
  <si>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</si>
  <si>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</si>
  <si>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</si>
  <si>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</si>
  <si>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</si>
  <si>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</si>
  <si>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</si>
  <si>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</si>
  <si>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</si>
  <si>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</si>
  <si>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</si>
  <si>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</si>
  <si>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</si>
  <si>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</si>
  <si>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</si>
  <si>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</si>
  <si>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</si>
  <si>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</si>
  <si>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</si>
  <si>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</si>
  <si>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</si>
  <si>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</si>
  <si>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</si>
  <si>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</si>
  <si>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</si>
  <si>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</si>
  <si>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</si>
  <si>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</si>
  <si>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</si>
  <si>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</si>
  <si>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</si>
  <si>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</si>
  <si>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</si>
  <si>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</si>
  <si>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</si>
  <si>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</si>
  <si>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</si>
  <si>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</si>
  <si>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</si>
  <si>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</si>
  <si>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</si>
  <si>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</si>
  <si>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</si>
  <si>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</si>
  <si>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</si>
  <si>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</si>
  <si>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</si>
  <si>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</si>
  <si>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</si>
  <si>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</si>
  <si>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</si>
  <si>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</si>
  <si>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</si>
  <si>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</si>
  <si>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</si>
  <si>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</si>
  <si>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</si>
  <si>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</si>
  <si>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</si>
  <si>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</si>
  <si>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</si>
  <si>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</si>
  <si>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</si>
  <si>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</si>
  <si>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</si>
  <si>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</si>
  <si>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</si>
  <si>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</si>
  <si>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</si>
  <si>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</si>
  <si>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</si>
  <si>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</si>
  <si>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</si>
  <si>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</si>
  <si>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</si>
  <si>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</si>
  <si>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</si>
  <si>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</si>
  <si>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</si>
  <si>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</si>
  <si>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</si>
  <si>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</si>
  <si>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</si>
  <si>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</si>
  <si>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</si>
  <si>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</si>
  <si>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</si>
  <si>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</si>
  <si>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</si>
  <si>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</si>
  <si>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</si>
  <si>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</si>
  <si>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</si>
  <si>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</si>
  <si>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</si>
  <si>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</si>
  <si>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</si>
  <si>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</si>
  <si>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</si>
  <si>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</si>
  <si>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</si>
  <si>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</si>
  <si>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</si>
  <si>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</si>
  <si>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</si>
  <si>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</si>
  <si>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</si>
  <si>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</si>
  <si>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</si>
  <si>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</si>
  <si>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</si>
  <si>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</si>
  <si>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</si>
  <si>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</si>
  <si>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</si>
  <si>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</si>
  <si>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</si>
  <si>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</si>
  <si>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</si>
  <si>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</si>
  <si>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</si>
  <si>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</si>
  <si>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</si>
  <si>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</si>
  <si>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</si>
  <si>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</si>
  <si>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</si>
  <si>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</si>
  <si>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</si>
  <si>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</si>
  <si>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</si>
  <si>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</si>
  <si>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</si>
  <si>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</si>
  <si>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</si>
  <si>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</si>
  <si>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</si>
  <si>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</si>
  <si>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</si>
  <si>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</si>
  <si>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</si>
  <si>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</si>
  <si>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</si>
  <si>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</si>
  <si>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</si>
  <si>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</si>
  <si>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</si>
  <si>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</si>
  <si>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</si>
  <si>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</si>
  <si>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</si>
  <si>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</si>
  <si>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</si>
  <si>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</si>
  <si>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</si>
  <si>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</si>
  <si>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</si>
  <si>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</si>
  <si>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</si>
  <si>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</si>
  <si>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</si>
  <si>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</si>
  <si>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</si>
  <si>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</si>
  <si>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</si>
  <si>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</si>
  <si>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</si>
  <si>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</si>
  <si>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</si>
  <si>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</si>
  <si>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</si>
  <si>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</si>
  <si>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</si>
  <si>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</si>
  <si>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</si>
  <si>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</si>
  <si>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</si>
  <si>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</si>
  <si>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</si>
  <si>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</si>
  <si>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</si>
  <si>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</si>
  <si>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</si>
  <si>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</si>
  <si>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</si>
  <si>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</si>
  <si>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</si>
  <si>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</si>
  <si>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</si>
  <si>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</si>
  <si>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</si>
  <si>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</si>
  <si>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</si>
  <si>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</si>
  <si>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</si>
  <si>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</si>
  <si>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</si>
  <si>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</si>
  <si>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</si>
  <si>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</si>
  <si>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</si>
  <si>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</si>
  <si>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</si>
  <si>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</si>
  <si>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</si>
  <si>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</si>
  <si>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</si>
  <si>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</si>
  <si>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</si>
  <si>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</si>
  <si>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</si>
  <si>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</si>
  <si>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</si>
  <si>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</si>
  <si>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</si>
  <si>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</si>
  <si>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</si>
  <si>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</si>
  <si>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</si>
  <si>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</si>
  <si>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</si>
  <si>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</si>
  <si>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</si>
  <si>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</si>
  <si>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</si>
  <si>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</si>
  <si>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</si>
  <si>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</si>
  <si>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</si>
  <si>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</si>
  <si>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</si>
  <si>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</si>
  <si>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</si>
  <si>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</si>
  <si>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</si>
  <si>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</si>
  <si>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</si>
  <si>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</si>
  <si>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</si>
  <si>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</si>
  <si>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</si>
  <si>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</si>
  <si>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</si>
  <si>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</si>
  <si>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</si>
  <si>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</si>
  <si>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</si>
  <si>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</si>
  <si>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</si>
  <si>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</si>
  <si>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</si>
  <si>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</si>
  <si>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</si>
  <si>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</si>
  <si>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</si>
  <si>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</si>
  <si>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</si>
  <si>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</si>
  <si>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</si>
  <si>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</si>
  <si>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</si>
  <si>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</si>
  <si>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</si>
  <si>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</si>
  <si>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</si>
  <si>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</si>
  <si>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</si>
  <si>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</si>
  <si>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</si>
  <si>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</si>
  <si>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</si>
  <si>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</si>
  <si>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</si>
  <si>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</si>
  <si>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</si>
  <si>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</si>
  <si>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</si>
  <si>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</si>
  <si>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</si>
  <si>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</si>
  <si>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</si>
  <si>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</si>
  <si>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</si>
  <si>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</si>
  <si>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</si>
  <si>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</si>
  <si>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</si>
  <si>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</si>
  <si>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</si>
  <si>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</si>
  <si>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</si>
  <si>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</si>
  <si>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</si>
  <si>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</si>
  <si>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</si>
  <si>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</si>
  <si>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</si>
  <si>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</si>
  <si>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</si>
  <si>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</si>
  <si>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</si>
  <si>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</si>
  <si>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</si>
  <si>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</si>
  <si>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</si>
  <si>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</si>
  <si>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</si>
  <si>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</si>
  <si>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</si>
  <si>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</si>
  <si>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</si>
  <si>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</si>
  <si>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</si>
  <si>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</si>
  <si>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</si>
  <si>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</si>
  <si>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</si>
  <si>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</si>
  <si>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</si>
  <si>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</si>
  <si>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</si>
  <si>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</si>
  <si>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</si>
  <si>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</si>
  <si>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</si>
  <si>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</si>
  <si>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</si>
  <si>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</si>
  <si>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</si>
  <si>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</si>
  <si>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</si>
  <si>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</si>
  <si>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</si>
  <si>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</si>
  <si>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</si>
  <si>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</si>
  <si>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</si>
  <si>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</si>
  <si>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</si>
  <si>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</si>
  <si>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</si>
  <si>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</si>
  <si>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</si>
  <si>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</si>
  <si>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</si>
  <si>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</si>
  <si>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</si>
  <si>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</si>
  <si>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</si>
  <si>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</si>
  <si>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</si>
  <si>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</si>
  <si>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</si>
  <si>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</si>
  <si>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</si>
  <si>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</si>
  <si>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</si>
  <si>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</si>
  <si>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</si>
  <si>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</si>
  <si>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</si>
  <si>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</si>
  <si>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</si>
  <si>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</si>
  <si>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</si>
  <si>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</si>
  <si>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</si>
  <si>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</si>
  <si>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</si>
  <si>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</si>
  <si>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</si>
  <si>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</si>
  <si>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</si>
  <si>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</si>
  <si>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</si>
  <si>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</si>
  <si>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</si>
  <si>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</si>
  <si>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</si>
  <si>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</si>
  <si>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</si>
  <si>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</si>
  <si>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</si>
  <si>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</si>
  <si>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</si>
  <si>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</si>
  <si>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</si>
  <si>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</si>
  <si>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</si>
  <si>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</si>
  <si>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</si>
  <si>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</si>
  <si>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</si>
  <si>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</si>
  <si>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</si>
  <si>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</si>
  <si>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</si>
  <si>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</si>
  <si>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</si>
  <si>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</si>
  <si>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</si>
  <si>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</si>
  <si>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</si>
  <si>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</si>
  <si>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</si>
  <si>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</si>
  <si>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</si>
  <si>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</si>
  <si>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</si>
  <si>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</si>
  <si>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</si>
  <si>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</si>
  <si>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</si>
  <si>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</si>
  <si>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</si>
  <si>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</si>
  <si>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</si>
  <si>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</si>
  <si>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</si>
  <si>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</si>
  <si>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</si>
  <si>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</si>
  <si>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</si>
  <si>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</si>
  <si>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</si>
  <si>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</si>
  <si>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</si>
  <si>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</si>
  <si>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</si>
  <si>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</si>
  <si>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</si>
  <si>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</si>
  <si>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</si>
  <si>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</si>
  <si>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</si>
  <si>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</si>
  <si>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</si>
  <si>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</si>
  <si>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</si>
  <si>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</si>
  <si>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</si>
  <si>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</si>
  <si>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</si>
  <si>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</si>
  <si>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</si>
  <si>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</si>
  <si>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</si>
  <si>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</si>
  <si>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</si>
  <si>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</si>
  <si>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</si>
  <si>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</si>
  <si>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</si>
  <si>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</si>
  <si>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</si>
  <si>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</si>
  <si>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</si>
  <si>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</si>
  <si>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</si>
  <si>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</si>
  <si>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</si>
  <si>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</si>
  <si>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</si>
  <si>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</si>
  <si>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</si>
  <si>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</si>
  <si>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</si>
  <si>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</si>
  <si>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</si>
  <si>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</si>
  <si>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</si>
  <si>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</si>
  <si>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</si>
  <si>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</si>
  <si>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</si>
  <si>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</si>
  <si>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</si>
  <si>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</si>
  <si>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</si>
  <si>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</si>
  <si>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</si>
  <si>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</si>
  <si>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</si>
  <si>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</si>
  <si>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</si>
  <si>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</si>
  <si>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</si>
  <si>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</si>
  <si>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</si>
  <si>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</si>
  <si>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</si>
  <si>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</si>
  <si>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</si>
  <si>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</si>
  <si>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</si>
  <si>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</si>
  <si>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</si>
  <si>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</si>
  <si>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</si>
  <si>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</si>
  <si>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</si>
  <si>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</si>
  <si>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</si>
  <si>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</si>
  <si>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</si>
  <si>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</si>
  <si>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</si>
  <si>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</si>
  <si>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</si>
  <si>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</si>
  <si>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</si>
  <si>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</si>
  <si>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</si>
  <si>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</si>
  <si>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</si>
  <si>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</si>
  <si>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</si>
  <si>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</si>
  <si>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</si>
  <si>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</si>
  <si>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</si>
  <si>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</si>
  <si>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</si>
  <si>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</si>
  <si>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</si>
  <si>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</si>
  <si>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</si>
  <si>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</si>
  <si>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</si>
  <si>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</si>
  <si>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</si>
  <si>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</si>
  <si>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</si>
  <si>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</si>
  <si>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</si>
  <si>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</si>
  <si>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</si>
  <si>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</si>
  <si>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</si>
  <si>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</si>
  <si>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</si>
  <si>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</si>
  <si>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</si>
  <si>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</si>
  <si>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</si>
  <si>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</si>
  <si>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</si>
  <si>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</si>
  <si>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</si>
  <si>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</si>
  <si>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</si>
  <si>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</si>
  <si>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</si>
  <si>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</si>
  <si>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</si>
  <si>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</si>
  <si>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</si>
  <si>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</si>
  <si>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</si>
  <si>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</si>
  <si>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</si>
  <si>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</si>
  <si>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</si>
  <si>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</si>
  <si>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</si>
  <si>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</si>
  <si>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</si>
  <si>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</si>
  <si>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</si>
  <si>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</si>
  <si>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</si>
  <si>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</si>
  <si>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</si>
  <si>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</si>
  <si>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</si>
  <si>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</si>
  <si>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</si>
  <si>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</si>
  <si>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</si>
  <si>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</si>
  <si>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</si>
  <si>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</si>
  <si>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</si>
  <si>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</si>
  <si>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</si>
  <si>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</si>
  <si>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</si>
  <si>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</si>
  <si>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</si>
  <si>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</si>
  <si>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</si>
  <si>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</si>
  <si>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</si>
  <si>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</si>
  <si>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</si>
  <si>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</si>
  <si>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</si>
  <si>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</si>
  <si>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</si>
  <si>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</si>
  <si>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</si>
  <si>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</si>
  <si>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</si>
  <si>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</si>
  <si>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</si>
  <si>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</si>
  <si>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</si>
  <si>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</si>
  <si>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</si>
  <si>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</si>
  <si>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</si>
  <si>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</si>
  <si>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</si>
  <si>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</si>
  <si>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</si>
  <si>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</si>
  <si>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</si>
  <si>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</si>
  <si>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</si>
  <si>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</si>
  <si>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</si>
  <si>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</si>
  <si>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</si>
  <si>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</si>
  <si>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</si>
  <si>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</si>
  <si>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</si>
  <si>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</si>
  <si>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</si>
  <si>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</si>
  <si>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</si>
  <si>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</si>
  <si>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</si>
  <si>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</si>
  <si>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</si>
  <si>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</si>
  <si>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</si>
  <si>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</si>
  <si>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</si>
  <si>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</si>
  <si>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</si>
  <si>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</si>
  <si>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</si>
  <si>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</si>
  <si>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</si>
  <si>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</si>
  <si>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</si>
  <si>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</si>
  <si>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</si>
  <si>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</si>
  <si>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</si>
  <si>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</si>
  <si>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</si>
  <si>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</si>
  <si>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</si>
  <si>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</si>
  <si>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</si>
  <si>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</si>
  <si>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</si>
  <si>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</si>
  <si>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</si>
  <si>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</si>
  <si>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</si>
  <si>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</si>
  <si>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</si>
  <si>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</si>
  <si>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</si>
  <si>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</si>
  <si>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</si>
  <si>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</si>
  <si>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</si>
  <si>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</si>
  <si>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</si>
  <si>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</si>
  <si>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</si>
  <si>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</si>
  <si>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</si>
  <si>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</si>
  <si>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</si>
  <si>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</si>
  <si>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</si>
  <si>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</si>
  <si>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</si>
  <si>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</si>
  <si>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</si>
  <si>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</si>
  <si>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</si>
  <si>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</si>
  <si>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</si>
  <si>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</si>
  <si>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</si>
  <si>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</si>
  <si>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</si>
  <si>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</si>
  <si>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</si>
  <si>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</si>
  <si>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</si>
  <si>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</si>
  <si>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</si>
  <si>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</si>
  <si>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</si>
  <si>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</si>
  <si>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</si>
  <si>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</si>
  <si>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</si>
  <si>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</si>
  <si>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</si>
  <si>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</si>
  <si>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</si>
  <si>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</si>
  <si>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</si>
  <si>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</si>
  <si>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</si>
  <si>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</si>
  <si>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</si>
  <si>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</si>
  <si>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</si>
  <si>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</si>
  <si>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</si>
  <si>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</si>
  <si>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</si>
  <si>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</si>
  <si>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</si>
  <si>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</si>
  <si>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</si>
  <si>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</si>
  <si>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</si>
  <si>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</si>
  <si>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</si>
  <si>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</si>
  <si>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</si>
  <si>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</si>
  <si>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</si>
  <si>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</si>
  <si>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</si>
  <si>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</si>
  <si>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</si>
  <si>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</si>
  <si>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</si>
  <si>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</si>
  <si>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</si>
  <si>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</si>
  <si>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</si>
  <si>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</si>
  <si>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</si>
  <si>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</si>
  <si>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</si>
  <si>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</si>
  <si>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</si>
  <si>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</si>
  <si>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</si>
  <si>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</si>
  <si>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</si>
  <si>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</si>
  <si>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</si>
  <si>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</si>
  <si>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</si>
  <si>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</si>
  <si>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</si>
  <si>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</si>
  <si>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</si>
  <si>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</si>
  <si>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</si>
  <si>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</si>
  <si>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</si>
  <si>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</si>
  <si>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</si>
  <si>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</si>
  <si>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</si>
  <si>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</si>
  <si>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</si>
  <si>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</si>
  <si>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</si>
  <si>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</si>
  <si>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</si>
  <si>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</si>
  <si>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</si>
  <si>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</si>
  <si>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</si>
  <si>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</si>
  <si>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</si>
  <si>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</si>
  <si>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</si>
  <si>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</si>
  <si>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</si>
  <si>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</si>
  <si>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</si>
  <si>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</si>
  <si>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</si>
  <si>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</si>
  <si>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</si>
  <si>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</si>
  <si>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</si>
  <si>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</si>
  <si>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</si>
  <si>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</si>
  <si>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</si>
  <si>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</si>
  <si>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</si>
  <si>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</si>
  <si>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</si>
  <si>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</si>
  <si>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</si>
  <si>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</si>
  <si>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</si>
  <si>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</si>
  <si>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</si>
  <si>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</si>
  <si>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</si>
  <si>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</si>
  <si>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</si>
  <si>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</si>
  <si>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</si>
  <si>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</si>
  <si>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</si>
  <si>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</si>
  <si>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</si>
  <si>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</si>
  <si>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</si>
  <si>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</si>
  <si>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</si>
  <si>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</si>
  <si>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</si>
  <si>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</si>
  <si>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</si>
  <si>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</si>
  <si>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</si>
  <si>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</si>
  <si>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</si>
  <si>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</si>
  <si>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</si>
  <si>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</si>
  <si>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</si>
  <si>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</si>
  <si>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</si>
  <si>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</si>
  <si>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</si>
  <si>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</si>
  <si>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</si>
  <si>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</si>
  <si>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</si>
  <si>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</si>
  <si>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</si>
  <si>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</si>
  <si>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</si>
  <si>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</si>
  <si>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</si>
  <si>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</si>
  <si>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</si>
  <si>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</si>
  <si>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</si>
  <si>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</si>
  <si>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</si>
  <si>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</si>
  <si>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</si>
  <si>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</si>
  <si>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</si>
  <si>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</si>
  <si>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</si>
  <si>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</si>
  <si>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</si>
  <si>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</si>
  <si>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</si>
  <si>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</si>
  <si>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</si>
  <si>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</si>
  <si>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</si>
  <si>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</si>
  <si>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</si>
  <si>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</si>
  <si>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</si>
  <si>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</si>
  <si>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</si>
  <si>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</si>
  <si>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</si>
  <si>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</si>
  <si>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</si>
  <si>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</si>
  <si>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</si>
  <si>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</si>
  <si>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</si>
  <si>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</si>
  <si>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</si>
  <si>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</si>
  <si>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</si>
  <si>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</si>
  <si>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</si>
  <si>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</si>
  <si>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</si>
  <si>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</si>
  <si>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</si>
  <si>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</si>
  <si>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</si>
  <si>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</si>
  <si>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</si>
  <si>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</si>
  <si>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</si>
  <si>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</si>
  <si>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</si>
  <si>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</si>
  <si>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</si>
  <si>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</si>
  <si>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</si>
  <si>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</si>
  <si>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</si>
  <si>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</si>
  <si>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</si>
  <si>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</si>
  <si>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</si>
  <si>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</si>
  <si>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</si>
  <si>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</si>
  <si>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</si>
  <si>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</si>
  <si>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</si>
  <si>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</si>
  <si>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</si>
  <si>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</si>
  <si>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</si>
  <si>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</si>
  <si>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</si>
  <si>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</si>
  <si>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</si>
  <si>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</si>
  <si>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</si>
  <si>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</si>
  <si>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</si>
  <si>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</si>
  <si>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</si>
  <si>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</si>
  <si>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</si>
  <si>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</si>
  <si>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</si>
  <si>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</si>
  <si>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</si>
  <si>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</si>
  <si>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</si>
  <si>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</si>
  <si>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</si>
  <si>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</si>
  <si>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</si>
  <si>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</si>
  <si>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</si>
  <si>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</si>
  <si>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</si>
  <si>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</si>
  <si>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</si>
  <si>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</si>
  <si>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</si>
  <si>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</si>
  <si>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</si>
  <si>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</si>
  <si>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</si>
  <si>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</si>
  <si>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</si>
  <si>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</si>
  <si>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</si>
  <si>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</si>
  <si>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</si>
  <si>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</si>
  <si>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</si>
  <si>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</si>
  <si>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</si>
  <si>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</si>
  <si>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</si>
  <si>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</si>
  <si>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</si>
  <si>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</si>
  <si>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</si>
  <si>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</si>
  <si>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</si>
  <si>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</si>
  <si>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</si>
  <si>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</si>
  <si>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</si>
  <si>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</si>
  <si>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</si>
  <si>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</si>
  <si>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</si>
  <si>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</si>
  <si>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</si>
  <si>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</si>
  <si>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</si>
  <si>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</si>
  <si>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</si>
  <si>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</si>
  <si>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</si>
  <si>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</si>
  <si>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</si>
  <si>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</si>
  <si>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</si>
  <si>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</si>
  <si>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</si>
  <si>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</si>
  <si>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</si>
  <si>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</si>
  <si>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</si>
  <si>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</si>
  <si>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</si>
  <si>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</si>
  <si>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</si>
  <si>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</si>
  <si>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</si>
  <si>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</si>
  <si>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</si>
  <si>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</si>
  <si>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</si>
  <si>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</si>
  <si>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</si>
  <si>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</si>
  <si>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</si>
  <si>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</si>
  <si>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</si>
  <si>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</si>
  <si>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</si>
  <si>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</si>
  <si>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</si>
  <si>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</si>
  <si>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</si>
  <si>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</si>
  <si>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</si>
  <si>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</si>
  <si>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</si>
  <si>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</si>
  <si>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</si>
  <si>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</si>
  <si>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</si>
  <si>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</si>
  <si>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</si>
  <si>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</si>
  <si>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</si>
  <si>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</si>
  <si>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</si>
  <si>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</si>
  <si>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</si>
  <si>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</si>
  <si>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</si>
  <si>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</si>
  <si>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</si>
  <si>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</si>
  <si>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</si>
  <si>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</si>
  <si>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</si>
  <si>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</si>
  <si>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</si>
  <si>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</si>
  <si>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</si>
  <si>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</si>
  <si>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</si>
  <si>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</si>
  <si>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</si>
  <si>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</si>
  <si>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</si>
  <si>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</si>
  <si>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</si>
  <si>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</si>
  <si>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</si>
  <si>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</si>
  <si>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</si>
  <si>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</si>
  <si>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</si>
  <si>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</si>
  <si>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</si>
  <si>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</si>
  <si>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</si>
  <si>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</si>
  <si>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</si>
  <si>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</si>
  <si>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</si>
  <si>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</si>
  <si>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</si>
  <si>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</si>
  <si>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</si>
  <si>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</si>
  <si>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</si>
  <si>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</si>
  <si>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</si>
  <si>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</si>
  <si>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</si>
  <si>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</si>
  <si>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</si>
  <si>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</si>
  <si>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</si>
  <si>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</si>
  <si>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</si>
  <si>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</si>
  <si>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</si>
  <si>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</si>
  <si>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</si>
  <si>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</si>
  <si>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</si>
  <si>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</si>
  <si>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</si>
  <si>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</si>
  <si>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</si>
  <si>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</si>
  <si>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</si>
  <si>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</si>
  <si>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</si>
  <si>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</si>
  <si>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</si>
  <si>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</si>
  <si>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</si>
  <si>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</si>
  <si>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</si>
  <si>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</si>
  <si>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</si>
  <si>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</si>
  <si>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</si>
  <si>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</si>
  <si>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</si>
  <si>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</si>
  <si>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</si>
  <si>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</si>
  <si>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</si>
  <si>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</si>
  <si>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</si>
  <si>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</si>
  <si>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</si>
  <si>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</si>
  <si>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</si>
  <si>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</si>
  <si>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</si>
  <si>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</si>
  <si>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</si>
  <si>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</si>
  <si>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</si>
  <si>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</si>
  <si>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</si>
  <si>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</si>
  <si>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</si>
  <si>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</si>
  <si>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</si>
  <si>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</si>
  <si>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</si>
  <si>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</si>
  <si>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</si>
  <si>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</si>
  <si>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</si>
  <si>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</si>
  <si>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</si>
  <si>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</si>
  <si>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</si>
  <si>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</si>
  <si>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</si>
  <si>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</si>
  <si>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</si>
  <si>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</si>
  <si>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</si>
  <si>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</si>
  <si>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</si>
  <si>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</si>
  <si>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</si>
  <si>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</si>
  <si>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</si>
  <si>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</si>
  <si>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</si>
  <si>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</si>
  <si>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</si>
  <si>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</si>
  <si>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</si>
  <si>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</si>
  <si>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</si>
  <si>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</si>
  <si>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</si>
  <si>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</si>
  <si>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</si>
  <si>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</si>
  <si>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</si>
  <si>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</si>
  <si>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</si>
  <si>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</si>
  <si>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</si>
  <si>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</si>
  <si>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</si>
  <si>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</si>
  <si>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</si>
  <si>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</si>
  <si>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</si>
  <si>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</si>
  <si>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</si>
  <si>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</si>
  <si>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</si>
  <si>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</si>
  <si>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</si>
  <si>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</si>
  <si>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</si>
  <si>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</si>
  <si>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</si>
  <si>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</si>
  <si>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</si>
  <si>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</si>
  <si>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</si>
  <si>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</si>
  <si>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</si>
  <si>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</si>
  <si>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</si>
  <si>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</si>
  <si>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</si>
  <si>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</si>
  <si>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</si>
  <si>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</si>
  <si>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</si>
  <si>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</si>
  <si>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</si>
  <si>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</si>
  <si>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</si>
  <si>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</si>
  <si>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</si>
  <si>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</si>
  <si>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</si>
  <si>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</si>
  <si>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</si>
  <si>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</si>
  <si>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</si>
  <si>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</si>
  <si>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</si>
  <si>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</si>
  <si>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</si>
  <si>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</si>
  <si>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</si>
  <si>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</si>
  <si>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</si>
  <si>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</si>
  <si>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</si>
  <si>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</si>
  <si>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</si>
  <si>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</si>
  <si>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</si>
  <si>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</si>
  <si>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</si>
  <si>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</si>
  <si>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</si>
  <si>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</si>
  <si>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</si>
  <si>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</si>
  <si>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</si>
  <si>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</si>
  <si>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</si>
  <si>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</si>
  <si>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</si>
  <si>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</si>
  <si>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</si>
  <si>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</si>
  <si>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</si>
  <si>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</si>
  <si>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</si>
  <si>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</si>
  <si>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</si>
  <si>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</si>
  <si>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</si>
  <si>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</si>
  <si>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</si>
  <si>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</si>
  <si>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</si>
  <si>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</si>
  <si>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</si>
  <si>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</si>
  <si>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</si>
  <si>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</si>
  <si>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</si>
  <si>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</si>
  <si>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</si>
  <si>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</si>
  <si>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</si>
  <si>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</si>
  <si>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</si>
  <si>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</si>
  <si>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</si>
  <si>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</si>
  <si>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</si>
  <si>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</si>
  <si>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</si>
  <si>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</si>
  <si>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</si>
  <si>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</si>
  <si>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</si>
  <si>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</si>
  <si>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</si>
  <si>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</si>
  <si>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</si>
  <si>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</si>
  <si>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</si>
  <si>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</si>
  <si>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</si>
  <si>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</si>
  <si>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</si>
  <si>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</si>
  <si>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</si>
  <si>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</si>
  <si>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</si>
  <si>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</si>
  <si>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</si>
  <si>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</si>
  <si>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</si>
  <si>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</si>
  <si>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</si>
  <si>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</si>
  <si>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</si>
  <si>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</si>
  <si>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</si>
  <si>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</si>
  <si>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</si>
  <si>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</si>
  <si>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</si>
  <si>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</si>
  <si>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</si>
  <si>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</si>
  <si>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</si>
  <si>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</si>
  <si>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</si>
  <si>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</si>
  <si>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</si>
  <si>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</si>
  <si>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</si>
  <si>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</si>
  <si>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</si>
  <si>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</si>
  <si>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</si>
  <si>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</si>
  <si>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</si>
  <si>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</si>
  <si>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</si>
  <si>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</si>
  <si>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</si>
  <si>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</si>
  <si>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</si>
  <si>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</si>
  <si>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</si>
  <si>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</si>
  <si>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</si>
  <si>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</si>
  <si>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</si>
  <si>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</si>
  <si>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</si>
  <si>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</si>
  <si>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</si>
  <si>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</si>
  <si>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</si>
  <si>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</si>
  <si>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</si>
  <si>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</si>
  <si>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</si>
  <si>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</si>
  <si>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</si>
  <si>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</si>
  <si>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</si>
  <si>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</si>
  <si>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</si>
  <si>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</si>
  <si>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</si>
  <si>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</si>
  <si>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</si>
  <si>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</si>
  <si>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</si>
  <si>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</si>
  <si>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</si>
  <si>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</si>
  <si>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</si>
  <si>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</si>
  <si>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</si>
  <si>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</si>
  <si>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</si>
  <si>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</si>
  <si>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</si>
  <si>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</si>
  <si>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</si>
  <si>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</si>
  <si>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</si>
  <si>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</si>
  <si>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</si>
  <si>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</si>
  <si>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</si>
  <si>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</si>
  <si>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</si>
  <si>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</si>
  <si>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</si>
  <si>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</si>
  <si>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</si>
  <si>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</si>
  <si>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</si>
  <si>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</si>
  <si>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</si>
  <si>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</si>
  <si>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</si>
  <si>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</si>
  <si>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</si>
  <si>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</si>
  <si>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</si>
  <si>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</si>
  <si>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</si>
  <si>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</si>
  <si>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</si>
  <si>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</si>
  <si>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</si>
  <si>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</si>
  <si>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</si>
  <si>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</si>
  <si>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</si>
  <si>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</si>
  <si>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</si>
  <si>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</si>
  <si>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</si>
  <si>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</si>
  <si>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</si>
  <si>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</si>
  <si>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</si>
  <si>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</si>
  <si>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</si>
  <si>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</si>
  <si>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</si>
  <si>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</si>
  <si>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</si>
  <si>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</si>
  <si>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</si>
  <si>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</si>
  <si>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</si>
  <si>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</si>
  <si>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</si>
  <si>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</si>
  <si>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</si>
  <si>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</si>
  <si>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</si>
  <si>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</si>
  <si>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</si>
  <si>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</si>
  <si>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</si>
  <si>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</si>
  <si>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</si>
  <si>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</si>
  <si>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</si>
  <si>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</si>
  <si>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</si>
  <si>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</si>
  <si>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</si>
  <si>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</si>
  <si>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</si>
  <si>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</si>
  <si>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</si>
  <si>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</si>
  <si>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</si>
  <si>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</si>
  <si>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</si>
  <si>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</si>
  <si>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</si>
  <si>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</si>
  <si>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</si>
  <si>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</si>
  <si>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</si>
  <si>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</si>
  <si>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</si>
  <si>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</si>
  <si>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</si>
  <si>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</si>
  <si>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</si>
  <si>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</si>
  <si>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</si>
  <si>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</si>
  <si>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</si>
  <si>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</si>
  <si>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</si>
  <si>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</si>
  <si>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</si>
  <si>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</si>
  <si>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</si>
  <si>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</si>
  <si>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</si>
  <si>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</si>
  <si>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</si>
  <si>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</si>
  <si>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</si>
  <si>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</si>
  <si>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</si>
  <si>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</si>
  <si>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</si>
  <si>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</si>
  <si>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</si>
  <si>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</si>
  <si>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</si>
  <si>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</si>
  <si>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</si>
  <si>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</si>
  <si>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</si>
  <si>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</si>
  <si>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</si>
  <si>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</si>
  <si>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</si>
  <si>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</si>
  <si>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</si>
  <si>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</si>
  <si>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</si>
  <si>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</si>
  <si>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</si>
  <si>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</si>
  <si>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</si>
  <si>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</si>
  <si>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</si>
  <si>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</si>
  <si>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</si>
  <si>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</si>
  <si>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</si>
  <si>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</si>
  <si>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</si>
  <si>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</si>
  <si>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</si>
  <si>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</si>
  <si>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</si>
  <si>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</si>
  <si>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</si>
  <si>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</si>
  <si>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</si>
  <si>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</si>
  <si>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</si>
  <si>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</si>
  <si>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</si>
  <si>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</si>
  <si>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</si>
  <si>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</si>
  <si>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</si>
  <si>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</si>
  <si>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</si>
  <si>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</si>
  <si>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</si>
  <si>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</si>
  <si>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</si>
  <si>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</si>
  <si>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</si>
  <si>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</si>
  <si>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</si>
  <si>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</si>
  <si>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</si>
  <si>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</si>
  <si>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</si>
  <si>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</si>
  <si>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</si>
  <si>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</si>
  <si>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</si>
  <si>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</si>
  <si>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</si>
  <si>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</si>
  <si>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</si>
  <si>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</si>
  <si>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</si>
  <si>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</si>
  <si>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</si>
  <si>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</si>
  <si>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</si>
  <si>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</si>
  <si>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</si>
  <si>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</si>
  <si>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</si>
  <si>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</si>
  <si>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</si>
  <si>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</si>
  <si>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</si>
  <si>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</si>
  <si>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</si>
  <si>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</si>
  <si>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</si>
  <si>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</si>
  <si>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</si>
  <si>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</si>
  <si>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</si>
  <si>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</si>
  <si>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</si>
  <si>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</si>
  <si>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</si>
  <si>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</si>
  <si>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</si>
  <si>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</si>
  <si>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</si>
  <si>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</si>
  <si>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</si>
  <si>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</si>
  <si>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</si>
  <si>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</si>
  <si>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</si>
  <si>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</si>
  <si>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</si>
  <si>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</si>
  <si>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</si>
  <si>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</si>
  <si>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</si>
  <si>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</si>
  <si>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</si>
  <si>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</si>
  <si>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</si>
  <si>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</si>
  <si>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</si>
  <si>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</si>
  <si>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</si>
  <si>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</si>
  <si>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</si>
  <si>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</si>
  <si>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</si>
  <si>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</si>
  <si>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</si>
  <si>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</si>
  <si>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</si>
  <si>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</si>
  <si>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</si>
  <si>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</si>
  <si>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</si>
  <si>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</si>
  <si>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</si>
  <si>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</si>
  <si>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</si>
  <si>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</si>
  <si>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</si>
  <si>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</si>
  <si>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</si>
  <si>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</si>
  <si>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</si>
  <si>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</si>
  <si>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</si>
  <si>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</si>
  <si>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</si>
  <si>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</si>
  <si>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</si>
  <si>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</si>
  <si>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</si>
  <si>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</si>
  <si>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</si>
  <si>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</si>
  <si>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</si>
  <si>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</si>
  <si>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</si>
  <si>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</si>
  <si>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</si>
  <si>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</si>
  <si>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</si>
  <si>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</si>
  <si>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</si>
  <si>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</si>
  <si>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</si>
  <si>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</si>
  <si>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</si>
  <si>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</si>
  <si>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</si>
  <si>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</si>
  <si>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</si>
  <si>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</si>
  <si>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</si>
  <si>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</si>
  <si>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</si>
  <si>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</si>
  <si>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</si>
  <si>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</si>
  <si>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</si>
  <si>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</si>
  <si>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</si>
  <si>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</si>
  <si>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</si>
  <si>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</si>
  <si>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</si>
  <si>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</si>
  <si>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</si>
  <si>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</si>
  <si>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</si>
  <si>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</si>
  <si>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</si>
  <si>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</si>
  <si>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</si>
  <si>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</si>
  <si>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</si>
  <si>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</si>
  <si>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</si>
  <si>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</si>
  <si>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</si>
  <si>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</si>
  <si>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</si>
  <si>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</si>
  <si>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</si>
  <si>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</si>
  <si>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</si>
  <si>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</si>
  <si>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</si>
  <si>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</si>
  <si>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</si>
  <si>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</si>
  <si>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</si>
  <si>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</si>
  <si>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</si>
  <si>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</si>
  <si>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</si>
  <si>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</si>
  <si>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</si>
  <si>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</si>
  <si>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</si>
  <si>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</si>
  <si>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</si>
  <si>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</si>
  <si>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</si>
  <si>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</si>
  <si>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</si>
  <si>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</si>
  <si>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</si>
  <si>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</si>
  <si>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</si>
  <si>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</si>
  <si>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</si>
  <si>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</si>
  <si>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</si>
  <si>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</si>
  <si>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</si>
  <si>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</si>
  <si>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</si>
  <si>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</si>
  <si>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</si>
  <si>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</si>
  <si>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</si>
  <si>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</si>
  <si>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</si>
  <si>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</si>
  <si>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</si>
  <si>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</si>
  <si>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</si>
  <si>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</si>
  <si>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</si>
  <si>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</si>
  <si>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</si>
  <si>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</si>
  <si>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</si>
  <si>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</si>
  <si>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</si>
  <si>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</si>
  <si>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</si>
  <si>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</si>
  <si>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</si>
  <si>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</si>
  <si>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</si>
  <si>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</si>
  <si>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</si>
  <si>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</si>
  <si>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</si>
  <si>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</si>
  <si>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</si>
  <si>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</si>
  <si>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</si>
  <si>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</si>
  <si>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</si>
  <si>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</si>
  <si>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</si>
  <si>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</si>
  <si>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</si>
  <si>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</si>
  <si>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</si>
  <si>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</si>
  <si>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</si>
  <si>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</si>
  <si>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</si>
  <si>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</si>
  <si>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</si>
  <si>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</si>
  <si>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</si>
  <si>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</si>
  <si>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</si>
  <si>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</si>
  <si>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</si>
  <si>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</si>
  <si>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</si>
  <si>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</si>
  <si>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</si>
  <si>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</si>
  <si>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</si>
  <si>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</si>
  <si>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</si>
  <si>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</si>
  <si>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</si>
  <si>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</si>
  <si>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</si>
  <si>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</si>
  <si>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</si>
  <si>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</si>
  <si>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</si>
  <si>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</si>
  <si>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</si>
  <si>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</si>
  <si>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</si>
  <si>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</si>
  <si>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</si>
  <si>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</si>
  <si>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</si>
  <si>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</si>
  <si>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</si>
  <si>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</si>
  <si>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</si>
  <si>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</si>
  <si>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</si>
  <si>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</si>
  <si>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</si>
  <si>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</si>
  <si>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</si>
  <si>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</si>
  <si>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</si>
  <si>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</si>
  <si>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</si>
  <si>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</si>
  <si>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</si>
  <si>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</si>
  <si>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</si>
  <si>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</si>
  <si>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</si>
  <si>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</si>
  <si>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</si>
  <si>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</si>
  <si>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</si>
  <si>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</si>
  <si>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</si>
  <si>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</si>
  <si>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</si>
  <si>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</si>
  <si>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</si>
  <si>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</si>
  <si>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</si>
  <si>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</si>
  <si>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</si>
  <si>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</si>
  <si>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</si>
  <si>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</si>
  <si>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</si>
  <si>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</si>
  <si>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</si>
  <si>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</si>
  <si>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</si>
  <si>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</si>
  <si>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</si>
  <si>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</si>
  <si>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</si>
  <si>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</si>
  <si>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</si>
  <si>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</si>
  <si>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</si>
  <si>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</si>
  <si>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</si>
  <si>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</si>
  <si>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</si>
  <si>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</si>
  <si>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</si>
  <si>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</si>
  <si>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</si>
  <si>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</si>
  <si>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</si>
  <si>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</si>
  <si>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</si>
  <si>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</si>
  <si>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</si>
  <si>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</si>
  <si>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</si>
  <si>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</si>
  <si>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</si>
  <si>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</si>
  <si>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</si>
  <si>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</si>
  <si>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</si>
  <si>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</si>
  <si>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</si>
  <si>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</si>
  <si>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</si>
  <si>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</si>
  <si>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</si>
  <si>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</si>
  <si>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</si>
  <si>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</si>
  <si>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</si>
  <si>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</si>
  <si>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</si>
  <si>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</si>
  <si>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</si>
  <si>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</si>
  <si>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</si>
  <si>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</si>
  <si>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</si>
  <si>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</si>
  <si>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</si>
  <si>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</si>
  <si>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</si>
  <si>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</si>
  <si>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</si>
  <si>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</si>
  <si>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</si>
  <si>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</si>
  <si>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</si>
  <si>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</si>
  <si>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</si>
  <si>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</si>
  <si>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</si>
  <si>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</si>
  <si>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</si>
  <si>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</si>
  <si>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</si>
  <si>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</si>
  <si>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</si>
  <si>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</si>
  <si>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</si>
  <si>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</si>
  <si>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</si>
  <si>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</si>
  <si>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</si>
  <si>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</si>
  <si>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</si>
  <si>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</si>
  <si>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</si>
  <si>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</si>
  <si>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</si>
  <si>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</si>
  <si>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</si>
  <si>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</si>
  <si>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</si>
  <si>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</si>
  <si>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</si>
  <si>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</si>
  <si>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</si>
  <si>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</si>
  <si>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</si>
  <si>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</si>
  <si>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</si>
  <si>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</si>
  <si>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</si>
  <si>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</si>
  <si>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</si>
  <si>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</si>
  <si>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</si>
  <si>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</si>
  <si>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</si>
  <si>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</si>
  <si>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</si>
  <si>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</si>
  <si>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</si>
  <si>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</si>
  <si>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</si>
  <si>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</si>
  <si>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</si>
  <si>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</si>
  <si>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</si>
  <si>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</si>
  <si>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</si>
  <si>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</si>
  <si>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</si>
  <si>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</si>
  <si>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</si>
  <si>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</si>
  <si>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</si>
  <si>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</si>
  <si>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</si>
  <si>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</si>
  <si>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</si>
  <si>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</si>
  <si>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</si>
  <si>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</si>
  <si>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</si>
  <si>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</si>
  <si>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</si>
  <si>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</si>
  <si>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</si>
  <si>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</si>
  <si>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</si>
  <si>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</si>
  <si>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</si>
  <si>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</si>
  <si>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</si>
  <si>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</si>
  <si>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</si>
  <si>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</si>
  <si>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</si>
  <si>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</si>
  <si>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</si>
  <si>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</si>
  <si>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</si>
  <si>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</si>
  <si>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</si>
  <si>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</si>
  <si>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</si>
  <si>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</si>
  <si>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</si>
  <si>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</si>
  <si>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</si>
  <si>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</si>
  <si>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</si>
  <si>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</si>
  <si>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</si>
  <si>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</si>
  <si>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</si>
  <si>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</si>
  <si>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</si>
  <si>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</si>
  <si>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</si>
  <si>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</si>
  <si>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</si>
  <si>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</si>
  <si>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</si>
  <si>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</si>
  <si>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</si>
  <si>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</si>
  <si>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</si>
  <si>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</si>
  <si>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</si>
  <si>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</si>
  <si>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</si>
  <si>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</si>
  <si>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</si>
  <si>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</si>
  <si>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</si>
  <si>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</si>
  <si>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</si>
  <si>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</si>
  <si>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</si>
  <si>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</si>
  <si>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</si>
  <si>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</si>
  <si>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</si>
  <si>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</si>
  <si>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</si>
  <si>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</si>
  <si>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</si>
  <si>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</si>
  <si>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</si>
  <si>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</si>
  <si>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</si>
  <si>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</si>
  <si>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</si>
  <si>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</si>
  <si>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</si>
  <si>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</si>
  <si>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</si>
  <si>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</si>
  <si>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</si>
  <si>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</si>
  <si>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</si>
  <si>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</si>
  <si>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</si>
  <si>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</si>
  <si>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</si>
  <si>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</si>
  <si>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</si>
  <si>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</si>
  <si>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</si>
  <si>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</si>
  <si>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</si>
  <si>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</si>
  <si>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</si>
  <si>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</si>
  <si>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</si>
  <si>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</si>
  <si>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</si>
  <si>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</si>
  <si>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</si>
  <si>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</si>
  <si>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</si>
  <si>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</si>
  <si>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</si>
  <si>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</si>
  <si>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</si>
  <si>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</si>
  <si>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</si>
  <si>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</si>
  <si>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</si>
  <si>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</si>
  <si>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</si>
  <si>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</si>
  <si>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</si>
  <si>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</si>
  <si>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</si>
  <si>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</si>
  <si>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</si>
  <si>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</si>
  <si>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</si>
  <si>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</si>
  <si>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</si>
  <si>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</si>
  <si>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</si>
  <si>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</si>
  <si>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</si>
  <si>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</si>
  <si>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</si>
  <si>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</si>
  <si>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</si>
  <si>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</si>
  <si>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</si>
  <si>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</si>
  <si>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</si>
  <si>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</si>
  <si>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</si>
  <si>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</si>
  <si>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</si>
  <si>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</si>
  <si>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</si>
  <si>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</si>
  <si>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</si>
  <si>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</si>
  <si>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</si>
  <si>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</si>
  <si>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</si>
  <si>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</si>
  <si>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</si>
  <si>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</si>
  <si>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</si>
  <si>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</si>
  <si>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</si>
  <si>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</si>
  <si>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</si>
  <si>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</si>
  <si>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</si>
  <si>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</si>
  <si>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</si>
  <si>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</si>
  <si>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</si>
  <si>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</si>
  <si>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</si>
  <si>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</si>
  <si>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</si>
  <si>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</si>
  <si>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</si>
  <si>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</si>
  <si>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</si>
  <si>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</si>
  <si>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</si>
  <si>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</si>
  <si>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</si>
  <si>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</si>
  <si>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</si>
  <si>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</si>
  <si>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</si>
  <si>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</si>
  <si>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</si>
  <si>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</si>
  <si>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</si>
  <si>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</si>
  <si>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</si>
  <si>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</si>
  <si>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</si>
  <si>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</si>
  <si>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</si>
  <si>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</si>
  <si>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</si>
  <si>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</si>
  <si>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</si>
  <si>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</si>
  <si>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</si>
  <si>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</si>
  <si>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</si>
  <si>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</si>
  <si>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</si>
  <si>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</si>
  <si>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</si>
  <si>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</si>
  <si>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</si>
  <si>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</si>
  <si>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</si>
  <si>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</si>
  <si>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</si>
  <si>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</si>
  <si>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</si>
  <si>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</si>
  <si>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</si>
  <si>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</si>
  <si>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</si>
  <si>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</si>
  <si>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</si>
  <si>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</si>
  <si>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</si>
  <si>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</si>
  <si>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</si>
  <si>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</si>
  <si>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</si>
  <si>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</si>
  <si>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</si>
  <si>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</si>
  <si>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</si>
  <si>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</si>
  <si>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</si>
  <si>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</si>
  <si>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</si>
  <si>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</si>
  <si>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</si>
  <si>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</si>
  <si>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</si>
  <si>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</si>
  <si>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</si>
  <si>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</si>
  <si>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</si>
  <si>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</si>
  <si>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</si>
  <si>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</si>
  <si>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</si>
  <si>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</si>
  <si>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</si>
  <si>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</si>
  <si>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</si>
  <si>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</si>
  <si>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</si>
  <si>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</si>
  <si>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</si>
  <si>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</si>
  <si>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</si>
  <si>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</si>
  <si>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</si>
  <si>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</si>
  <si>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</si>
  <si>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</si>
  <si>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</si>
  <si>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</si>
  <si>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</si>
  <si>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</si>
  <si>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</si>
  <si>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</si>
  <si>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</si>
  <si>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</si>
  <si>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</si>
  <si>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</si>
  <si>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</si>
  <si>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</si>
  <si>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</si>
  <si>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</si>
  <si>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</si>
  <si>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</si>
  <si>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</si>
  <si>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</si>
  <si>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</si>
  <si>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</si>
  <si>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</si>
  <si>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</si>
  <si>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</si>
  <si>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</si>
  <si>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</si>
  <si>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</si>
  <si>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</si>
  <si>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</si>
  <si>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</si>
  <si>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</si>
  <si>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</si>
  <si>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</si>
  <si>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</si>
  <si>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</si>
  <si>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</si>
  <si>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</si>
  <si>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</si>
  <si>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</si>
  <si>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</si>
  <si>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</si>
  <si>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</si>
  <si>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</si>
  <si>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</si>
  <si>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</si>
  <si>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</si>
  <si>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</si>
  <si>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</si>
  <si>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</si>
  <si>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</si>
  <si>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</si>
  <si>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</si>
  <si>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</si>
  <si>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</si>
  <si>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</si>
  <si>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</si>
  <si>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</si>
  <si>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</si>
  <si>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</si>
  <si>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</si>
  <si>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</si>
  <si>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</si>
  <si>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</si>
  <si>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</si>
  <si>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</si>
  <si>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</si>
  <si>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</si>
  <si>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</si>
  <si>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</si>
  <si>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</si>
  <si>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</si>
  <si>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</si>
  <si>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</si>
  <si>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</si>
  <si>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</si>
  <si>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</si>
  <si>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</si>
  <si>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</si>
  <si>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</si>
  <si>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</si>
  <si>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</si>
  <si>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</si>
  <si>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</si>
  <si>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</si>
  <si>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</si>
  <si>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</si>
  <si>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</si>
  <si>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</si>
  <si>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</si>
  <si>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</si>
  <si>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</si>
  <si>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</si>
  <si>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</si>
  <si>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</si>
  <si>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</si>
  <si>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</si>
  <si>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</si>
  <si>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</si>
  <si>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</si>
  <si>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</si>
  <si>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</si>
  <si>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</si>
  <si>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</si>
  <si>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</si>
  <si>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</si>
  <si>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</si>
  <si>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</si>
  <si>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</si>
  <si>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</si>
  <si>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</si>
  <si>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</si>
  <si>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</si>
  <si>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</si>
  <si>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</si>
  <si>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</si>
  <si>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</si>
  <si>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</si>
  <si>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</si>
  <si>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</si>
  <si>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</si>
  <si>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</si>
  <si>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</si>
  <si>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</si>
  <si>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</si>
  <si>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</si>
  <si>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</si>
  <si>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</si>
  <si>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</si>
  <si>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</si>
  <si>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</si>
  <si>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</si>
  <si>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</si>
  <si>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</si>
  <si>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</si>
  <si>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</si>
  <si>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</si>
  <si>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</si>
  <si>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</si>
  <si>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</si>
  <si>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</si>
  <si>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</si>
  <si>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</si>
  <si>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</si>
  <si>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</si>
  <si>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</si>
  <si>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</si>
  <si>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</si>
  <si>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</si>
  <si>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</si>
  <si>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</si>
  <si>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</si>
  <si>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</si>
  <si>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</si>
  <si>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</si>
  <si>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</si>
  <si>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</si>
  <si>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</si>
  <si>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</si>
  <si>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</si>
  <si>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</si>
  <si>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</si>
  <si>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</si>
  <si>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</si>
  <si>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</si>
  <si>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</si>
  <si>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</si>
  <si>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</si>
  <si>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</si>
  <si>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</si>
  <si>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</si>
  <si>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</si>
  <si>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</si>
  <si>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</si>
  <si>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</si>
  <si>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</si>
  <si>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</si>
  <si>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</si>
  <si>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</si>
  <si>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</si>
  <si>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</si>
  <si>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</si>
  <si>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</si>
  <si>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</si>
  <si>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</si>
  <si>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</si>
  <si>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</si>
  <si>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</si>
  <si>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</si>
  <si>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</si>
  <si>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</si>
  <si>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</si>
  <si>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</si>
  <si>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</si>
  <si>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</si>
  <si>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</si>
  <si>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</si>
  <si>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</si>
  <si>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</si>
  <si>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</si>
  <si>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</si>
  <si>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</si>
  <si>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</si>
  <si>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</si>
  <si>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</si>
  <si>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</si>
  <si>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</si>
  <si>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</si>
  <si>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</si>
  <si>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</si>
  <si>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</si>
  <si>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</si>
  <si>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</si>
  <si>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</si>
  <si>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</si>
  <si>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</si>
  <si>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</si>
  <si>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</si>
  <si>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</si>
  <si>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</si>
  <si>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</si>
  <si>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</si>
  <si>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</si>
  <si>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</si>
  <si>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</si>
  <si>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</si>
  <si>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</si>
  <si>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</si>
  <si>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</si>
  <si>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</si>
  <si>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</si>
  <si>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</si>
  <si>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</si>
  <si>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</si>
  <si>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</si>
  <si>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</si>
  <si>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</si>
  <si>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</si>
  <si>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</si>
  <si>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</si>
  <si>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</si>
  <si>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</si>
  <si>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</si>
  <si>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</si>
  <si>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</si>
  <si>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</si>
  <si>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</si>
  <si>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</si>
  <si>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</si>
  <si>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</si>
  <si>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</si>
  <si>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</si>
  <si>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</si>
  <si>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</si>
  <si>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</si>
  <si>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</si>
  <si>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</si>
  <si>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</si>
  <si>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</si>
  <si>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</si>
  <si>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</si>
  <si>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</si>
  <si>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</si>
  <si>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</si>
  <si>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</si>
  <si>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</si>
  <si>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</si>
  <si>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</si>
  <si>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</si>
  <si>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</si>
  <si>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</si>
  <si>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</si>
  <si>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</si>
  <si>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</si>
  <si>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</si>
  <si>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</si>
  <si>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</si>
  <si>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</si>
  <si>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</si>
  <si>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</si>
  <si>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</si>
  <si>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</si>
  <si>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</si>
  <si>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</si>
  <si>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</si>
  <si>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</si>
  <si>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</si>
  <si>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</si>
  <si>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</si>
  <si>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</si>
  <si>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</si>
  <si>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</si>
  <si>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</si>
  <si>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</si>
  <si>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</si>
  <si>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</si>
  <si>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</si>
  <si>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</si>
  <si>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</si>
  <si>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</si>
  <si>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</si>
  <si>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</si>
  <si>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</si>
  <si>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</si>
  <si>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</si>
  <si>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</si>
  <si>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</si>
  <si>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</si>
  <si>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</si>
  <si>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</si>
  <si>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</si>
  <si>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</si>
  <si>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</si>
  <si>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</si>
  <si>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</si>
  <si>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</si>
  <si>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</si>
  <si>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</si>
  <si>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</si>
  <si>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</si>
  <si>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</si>
  <si>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</si>
  <si>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</si>
  <si>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</si>
  <si>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</si>
  <si>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</si>
  <si>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</si>
  <si>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</si>
  <si>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</si>
  <si>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</si>
  <si>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</si>
  <si>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</si>
  <si>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</si>
  <si>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</si>
  <si>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</si>
  <si>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</si>
  <si>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</si>
  <si>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</si>
  <si>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</si>
  <si>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</si>
  <si>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</si>
  <si>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</si>
  <si>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</si>
  <si>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</si>
  <si>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</si>
  <si>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</si>
  <si>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</si>
  <si>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</si>
  <si>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</si>
  <si>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</si>
  <si>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</si>
  <si>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</si>
  <si>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</si>
  <si>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</si>
  <si>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</si>
  <si>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</si>
  <si>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</si>
  <si>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</si>
  <si>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</si>
  <si>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</si>
  <si>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</si>
  <si>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</si>
  <si>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</si>
  <si>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</si>
  <si>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</si>
  <si>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</si>
  <si>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</si>
  <si>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</si>
  <si>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</si>
  <si>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</si>
  <si>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</si>
  <si>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</si>
  <si>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</si>
  <si>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</si>
  <si>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</si>
  <si>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</si>
  <si>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</si>
  <si>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</si>
  <si>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</si>
  <si>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</si>
  <si>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</si>
  <si>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</si>
  <si>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</si>
  <si>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</si>
  <si>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</si>
  <si>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</si>
  <si>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</si>
  <si>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</si>
  <si>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</si>
  <si>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</si>
  <si>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</si>
  <si>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</si>
  <si>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</si>
  <si>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</si>
  <si>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</si>
  <si>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</si>
  <si>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</si>
  <si>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</si>
  <si>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</si>
  <si>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</si>
  <si>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</si>
  <si>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</si>
  <si>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</si>
  <si>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</si>
  <si>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</si>
  <si>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</si>
  <si>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</si>
  <si>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</si>
  <si>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</si>
  <si>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</si>
  <si>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</si>
  <si>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</si>
  <si>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</si>
  <si>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</si>
  <si>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</si>
  <si>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</si>
  <si>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</si>
  <si>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</si>
  <si>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</si>
  <si>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</si>
  <si>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</si>
  <si>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</si>
  <si>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</si>
  <si>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</si>
  <si>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</si>
  <si>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</si>
  <si>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</si>
  <si>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</si>
  <si>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</si>
  <si>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</si>
  <si>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</si>
  <si>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</si>
  <si>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</si>
  <si>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</si>
  <si>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</si>
  <si>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</si>
  <si>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</si>
  <si>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</si>
  <si>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</si>
  <si>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</si>
  <si>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</si>
  <si>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</si>
  <si>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</si>
  <si>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</si>
  <si>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</si>
  <si>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</si>
  <si>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</si>
  <si>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</si>
  <si>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</si>
  <si>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</si>
  <si>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</si>
  <si>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</si>
  <si>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</si>
  <si>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</si>
  <si>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</si>
  <si>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</si>
  <si>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</si>
  <si>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</si>
  <si>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</si>
  <si>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</si>
  <si>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</si>
  <si>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</si>
  <si>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</si>
  <si>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</si>
  <si>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</si>
  <si>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</si>
  <si>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</si>
  <si>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</si>
  <si>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</si>
  <si>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</si>
  <si>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</si>
  <si>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</si>
  <si>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</si>
  <si>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</si>
  <si>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</si>
  <si>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</si>
  <si>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</si>
  <si>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</si>
  <si>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</si>
  <si>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</si>
  <si>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</si>
  <si>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</si>
  <si>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</si>
  <si>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</si>
  <si>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</si>
  <si>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</si>
  <si>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</si>
  <si>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</si>
  <si>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</si>
  <si>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</si>
  <si>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</si>
  <si>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</si>
  <si>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</si>
  <si>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</si>
  <si>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</si>
  <si>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</si>
  <si>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</si>
  <si>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</si>
  <si>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</si>
  <si>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</si>
  <si>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</si>
  <si>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</si>
  <si>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</si>
  <si>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</si>
  <si>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</si>
  <si>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</si>
  <si>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</si>
  <si>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</si>
  <si>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</si>
  <si>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</si>
  <si>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</si>
  <si>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</si>
  <si>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</si>
  <si>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</si>
  <si>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</si>
  <si>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</si>
  <si>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</si>
  <si>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</si>
  <si>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</si>
  <si>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</si>
  <si>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</si>
  <si>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</si>
  <si>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</si>
  <si>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</si>
  <si>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</si>
  <si>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</si>
  <si>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</si>
  <si>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</si>
  <si>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</si>
  <si>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</si>
  <si>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</si>
  <si>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</si>
  <si>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</si>
  <si>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</si>
  <si>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</si>
  <si>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</si>
  <si>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</si>
  <si>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</si>
  <si>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</si>
  <si>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</si>
  <si>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</si>
  <si>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</si>
  <si>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</si>
  <si>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</si>
  <si>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</si>
  <si>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</si>
  <si>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</si>
  <si>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</si>
  <si>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</si>
  <si>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</si>
  <si>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</si>
  <si>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</si>
  <si>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</si>
  <si>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</si>
  <si>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</si>
  <si>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</si>
  <si>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</si>
  <si>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</si>
  <si>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</si>
  <si>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</si>
  <si>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</si>
  <si>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</si>
  <si>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</si>
  <si>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</si>
  <si>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</si>
  <si>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</si>
  <si>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</si>
  <si>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</si>
  <si>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</si>
  <si>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</si>
  <si>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</si>
  <si>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</si>
  <si>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</si>
  <si>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</si>
  <si>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</si>
  <si>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</si>
  <si>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</si>
  <si>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</si>
  <si>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</si>
  <si>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</si>
  <si>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</si>
  <si>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</si>
  <si>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</si>
  <si>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</si>
  <si>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</si>
  <si>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</si>
  <si>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</si>
  <si>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</si>
  <si>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</si>
  <si>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</si>
  <si>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</si>
  <si>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</si>
  <si>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</si>
  <si>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</si>
  <si>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</si>
  <si>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</si>
  <si>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</si>
  <si>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</si>
  <si>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</si>
  <si>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</si>
  <si>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</si>
  <si>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</si>
  <si>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</si>
  <si>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</si>
  <si>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</si>
  <si>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</si>
  <si>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</si>
  <si>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</si>
  <si>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</si>
  <si>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</si>
  <si>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</si>
  <si>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</si>
  <si>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</si>
  <si>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</si>
  <si>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</si>
  <si>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</si>
  <si>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</si>
  <si>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</si>
  <si>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</si>
  <si>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</si>
  <si>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</si>
  <si>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</si>
  <si>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</si>
  <si>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</si>
  <si>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</si>
  <si>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</si>
  <si>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</si>
  <si>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</si>
  <si>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</si>
  <si>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</si>
  <si>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</si>
  <si>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</si>
  <si>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</si>
  <si>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</si>
  <si>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</si>
  <si>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</si>
  <si>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</si>
  <si>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</si>
  <si>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</si>
  <si>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</si>
  <si>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</si>
  <si>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</si>
  <si>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</si>
  <si>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</si>
  <si>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</si>
  <si>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</si>
  <si>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</si>
  <si>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</si>
  <si>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</si>
  <si>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</si>
  <si>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</si>
  <si>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</si>
  <si>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</si>
  <si>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</si>
  <si>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</si>
  <si>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</si>
  <si>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</si>
  <si>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</si>
  <si>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</si>
  <si>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</si>
  <si>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</si>
  <si>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</si>
  <si>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</si>
  <si>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</si>
  <si>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</si>
  <si>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</si>
  <si>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</si>
  <si>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</si>
  <si>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</si>
  <si>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</si>
  <si>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</si>
  <si>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</si>
  <si>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</si>
  <si>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</si>
  <si>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</si>
  <si>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</si>
  <si>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</si>
  <si>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</si>
  <si>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</si>
  <si>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</si>
  <si>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</si>
  <si>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</si>
  <si>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</si>
  <si>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</si>
  <si>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</si>
  <si>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</si>
  <si>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</si>
  <si>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</si>
  <si>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</si>
  <si>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</si>
  <si>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</si>
  <si>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</si>
  <si>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</si>
  <si>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</si>
  <si>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</si>
  <si>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</si>
  <si>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</si>
  <si>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</si>
  <si>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</si>
  <si>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</si>
  <si>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</si>
  <si>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</si>
  <si>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</si>
  <si>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</si>
  <si>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</si>
  <si>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</si>
  <si>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</si>
  <si>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</si>
  <si>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</si>
  <si>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</si>
  <si>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</si>
  <si>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</si>
  <si>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</si>
  <si>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</si>
  <si>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</si>
  <si>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</si>
  <si>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</si>
  <si>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</si>
  <si>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</si>
  <si>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</si>
  <si>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</si>
  <si>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</si>
  <si>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</si>
  <si>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</si>
  <si>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</si>
  <si>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</si>
  <si>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</si>
  <si>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</si>
  <si>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</si>
  <si>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</si>
  <si>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</si>
  <si>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</si>
  <si>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</si>
  <si>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</si>
  <si>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</si>
  <si>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</si>
  <si>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</si>
  <si>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</si>
  <si>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</si>
  <si>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</si>
  <si>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</si>
  <si>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</si>
  <si>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</si>
  <si>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</si>
  <si>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</si>
  <si>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</si>
  <si>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</si>
  <si>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</si>
  <si>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</si>
  <si>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</si>
  <si>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</si>
  <si>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</si>
  <si>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</si>
  <si>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</si>
  <si>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</si>
  <si>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</si>
  <si>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</si>
  <si>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</si>
  <si>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</si>
  <si>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</si>
  <si>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</si>
  <si>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</si>
  <si>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</si>
  <si>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</si>
  <si>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</si>
  <si>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</si>
  <si>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</si>
  <si>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</si>
  <si>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</si>
  <si>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</si>
  <si>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</si>
  <si>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</si>
  <si>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</si>
  <si>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</si>
  <si>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</si>
  <si>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</si>
  <si>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</si>
  <si>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</si>
  <si>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</si>
  <si>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</si>
  <si>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</si>
  <si>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</si>
  <si>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</si>
  <si>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</si>
  <si>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</si>
  <si>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</si>
  <si>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</si>
  <si>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</si>
  <si>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</si>
  <si>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</si>
  <si>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</si>
  <si>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</si>
  <si>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</si>
  <si>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</si>
  <si>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</si>
  <si>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</si>
  <si>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</si>
  <si>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</si>
  <si>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</si>
  <si>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</si>
  <si>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</si>
  <si>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</si>
  <si>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</si>
  <si>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</si>
  <si>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</si>
  <si>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</si>
  <si>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</si>
  <si>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</si>
  <si>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</si>
  <si>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</si>
  <si>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</si>
  <si>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</si>
  <si>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</si>
  <si>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</si>
  <si>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</si>
  <si>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</si>
  <si>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</si>
  <si>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</si>
  <si>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</si>
  <si>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</si>
  <si>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</si>
  <si>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</si>
  <si>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</si>
  <si>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</si>
  <si>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</si>
  <si>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</si>
  <si>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</si>
  <si>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</si>
  <si>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</si>
  <si>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</si>
  <si>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</si>
  <si>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</si>
  <si>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</si>
  <si>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</si>
  <si>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</si>
  <si>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</si>
  <si>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</si>
  <si>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</si>
  <si>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</si>
  <si>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</si>
  <si>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</si>
  <si>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</si>
  <si>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</si>
  <si>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</si>
  <si>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</si>
  <si>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</si>
  <si>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</si>
  <si>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</si>
  <si>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</si>
  <si>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</si>
  <si>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</si>
  <si>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</si>
  <si>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</si>
  <si>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</si>
  <si>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</si>
  <si>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</si>
  <si>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</si>
  <si>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</si>
  <si>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</si>
  <si>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</si>
  <si>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</si>
  <si>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</si>
  <si>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</si>
  <si>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</si>
  <si>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</si>
  <si>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</si>
  <si>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</si>
  <si>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</si>
  <si>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</si>
  <si>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</si>
  <si>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</si>
  <si>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</si>
  <si>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</si>
  <si>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</si>
  <si>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</si>
  <si>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</si>
  <si>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</si>
  <si>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</si>
  <si>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</si>
  <si>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</si>
  <si>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</si>
  <si>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</si>
  <si>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</si>
  <si>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</si>
  <si>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</si>
  <si>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</si>
  <si>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</si>
  <si>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</si>
  <si>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</si>
  <si>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</si>
  <si>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</si>
  <si>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</si>
  <si>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</si>
  <si>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</si>
  <si>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</si>
  <si>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</si>
  <si>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</si>
  <si>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</si>
  <si>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</si>
  <si>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</si>
  <si>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</si>
  <si>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</si>
  <si>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</si>
  <si>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</si>
  <si>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</si>
  <si>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</si>
  <si>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</si>
  <si>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</si>
  <si>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</si>
  <si>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</si>
  <si>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</si>
  <si>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</si>
  <si>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</si>
  <si>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</si>
  <si>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</si>
  <si>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</si>
  <si>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</si>
  <si>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</si>
  <si>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</si>
  <si>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</si>
  <si>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</si>
  <si>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</si>
  <si>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</si>
  <si>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</si>
  <si>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</si>
  <si>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</si>
  <si>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</si>
  <si>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</si>
  <si>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</si>
  <si>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</si>
  <si>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</si>
  <si>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</si>
  <si>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</si>
  <si>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</si>
  <si>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</si>
  <si>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</si>
  <si>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</si>
  <si>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</si>
  <si>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</si>
  <si>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</si>
  <si>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</si>
  <si>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</si>
  <si>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</si>
  <si>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</si>
  <si>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</si>
  <si>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</si>
  <si>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</si>
  <si>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</si>
  <si>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</si>
  <si>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</si>
  <si>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</si>
  <si>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</si>
  <si>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</si>
  <si>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</si>
  <si>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</si>
  <si>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</si>
  <si>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</si>
  <si>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</si>
  <si>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</si>
  <si>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</si>
  <si>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</si>
  <si>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</si>
  <si>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</si>
  <si>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</si>
  <si>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</si>
  <si>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</si>
  <si>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</si>
  <si>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</si>
  <si>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</si>
  <si>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</si>
  <si>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</si>
  <si>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</si>
  <si>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</si>
  <si>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</si>
  <si>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</si>
  <si>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</si>
  <si>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</si>
  <si>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</si>
  <si>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</si>
  <si>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</si>
  <si>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</si>
  <si>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</si>
  <si>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</si>
  <si>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</si>
  <si>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</si>
  <si>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</si>
  <si>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</si>
  <si>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</si>
  <si>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</si>
  <si>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</si>
  <si>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</si>
  <si>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</si>
  <si>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</si>
  <si>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</si>
  <si>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</si>
  <si>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</si>
  <si>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</si>
  <si>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</si>
  <si>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</si>
  <si>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</si>
  <si>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</si>
  <si>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</si>
  <si>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</si>
  <si>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</si>
  <si>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</si>
  <si>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</si>
  <si>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</si>
  <si>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</si>
  <si>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</si>
  <si>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</si>
  <si>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</si>
  <si>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</si>
  <si>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</si>
  <si>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</si>
  <si>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</si>
  <si>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</si>
  <si>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</si>
  <si>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</si>
  <si>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</si>
  <si>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</si>
  <si>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</si>
  <si>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</si>
  <si>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</si>
  <si>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</si>
  <si>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</si>
  <si>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</si>
  <si>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</si>
  <si>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</si>
  <si>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</si>
  <si>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</si>
  <si>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</si>
  <si>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</si>
  <si>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</si>
  <si>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</si>
  <si>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</si>
  <si>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</si>
  <si>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</si>
  <si>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</si>
  <si>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</si>
  <si>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</si>
  <si>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</si>
  <si>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</si>
  <si>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</si>
  <si>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</si>
  <si>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</si>
  <si>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</si>
  <si>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</si>
  <si>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</si>
  <si>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</si>
  <si>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</si>
  <si>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</si>
  <si>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</si>
  <si>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</si>
  <si>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</si>
  <si>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</si>
  <si>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</si>
  <si>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</si>
  <si>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</si>
  <si>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</si>
  <si>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</si>
  <si>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</si>
  <si>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</si>
  <si>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</si>
  <si>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</si>
  <si>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</si>
  <si>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</si>
  <si>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</si>
  <si>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</si>
  <si>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</si>
  <si>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</si>
  <si>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</si>
  <si>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</si>
  <si>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</si>
  <si>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</si>
  <si>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</si>
  <si>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</si>
  <si>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</si>
  <si>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</si>
  <si>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</si>
  <si>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</si>
  <si>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</si>
  <si>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</si>
  <si>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</si>
  <si>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</si>
  <si>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</si>
  <si>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</si>
  <si>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</si>
  <si>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</si>
  <si>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</si>
  <si>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</si>
  <si>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</si>
  <si>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</si>
  <si>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</si>
  <si>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</si>
  <si>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</si>
  <si>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</si>
  <si>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</si>
  <si>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</si>
  <si>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</si>
  <si>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</si>
  <si>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</si>
  <si>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</si>
  <si>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</si>
  <si>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</si>
  <si>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</si>
  <si>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</si>
  <si>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</si>
  <si>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</si>
  <si>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</si>
  <si>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</si>
  <si>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</si>
  <si>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</si>
  <si>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</si>
  <si>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</si>
  <si>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</si>
  <si>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</si>
  <si>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</si>
  <si>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</si>
  <si>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</si>
  <si>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</si>
  <si>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</si>
  <si>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</si>
  <si>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</si>
  <si>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</si>
  <si>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</si>
  <si>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</si>
  <si>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</si>
  <si>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</si>
  <si>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</si>
  <si>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</si>
  <si>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</si>
  <si>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</si>
  <si>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</si>
  <si>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</si>
  <si>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</si>
  <si>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</si>
  <si>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</si>
  <si>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</si>
  <si>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</si>
  <si>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</si>
  <si>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</si>
  <si>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</si>
  <si>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</si>
  <si>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</si>
  <si>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</si>
  <si>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</si>
  <si>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</si>
  <si>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</si>
  <si>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</si>
  <si>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</si>
  <si>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</si>
  <si>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</si>
  <si>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</si>
  <si>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</si>
  <si>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</si>
  <si>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</si>
  <si>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</si>
  <si>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</si>
  <si>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</si>
  <si>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</si>
  <si>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</si>
  <si>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</si>
  <si>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</si>
  <si>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</si>
  <si>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</si>
  <si>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</si>
  <si>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</si>
  <si>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</si>
  <si>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</si>
  <si>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</si>
  <si>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</si>
  <si>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</si>
  <si>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</si>
  <si>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</si>
  <si>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</si>
  <si>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</si>
  <si>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</si>
  <si>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</si>
  <si>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</si>
  <si>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</si>
  <si>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</si>
  <si>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</si>
  <si>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</si>
  <si>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</si>
  <si>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</si>
  <si>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</si>
  <si>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</si>
  <si>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</si>
  <si>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</si>
  <si>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</si>
  <si>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</si>
  <si>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</si>
  <si>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</si>
  <si>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</si>
  <si>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</si>
  <si>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</si>
  <si>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</si>
  <si>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</si>
  <si>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</si>
  <si>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</si>
  <si>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</si>
  <si>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</si>
  <si>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</si>
  <si>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</si>
  <si>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</si>
  <si>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</si>
  <si>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</si>
  <si>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</si>
  <si>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</si>
  <si>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</si>
  <si>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</si>
  <si>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</si>
  <si>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</si>
  <si>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</si>
  <si>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</si>
  <si>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</si>
  <si>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</si>
  <si>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</si>
  <si>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</si>
  <si>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</si>
  <si>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</si>
  <si>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</si>
  <si>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</si>
  <si>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</si>
  <si>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</si>
  <si>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</si>
  <si>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</si>
  <si>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</si>
  <si>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</si>
  <si>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</si>
  <si>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</si>
  <si>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</si>
  <si>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</si>
  <si>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</si>
  <si>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</si>
  <si>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</si>
  <si>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</si>
  <si>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</si>
  <si>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</si>
  <si>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</si>
  <si>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</si>
  <si>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</si>
  <si>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</si>
  <si>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</si>
  <si>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</si>
  <si>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</si>
  <si>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</si>
  <si>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</si>
  <si>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</si>
  <si>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</si>
  <si>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</si>
  <si>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</si>
  <si>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</si>
  <si>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</si>
  <si>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</si>
  <si>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</si>
  <si>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</si>
  <si>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</si>
  <si>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</si>
  <si>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</si>
  <si>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</si>
  <si>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</si>
  <si>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</si>
  <si>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</si>
  <si>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</si>
  <si>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</si>
  <si>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</si>
  <si>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</si>
  <si>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</si>
  <si>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</si>
  <si>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</si>
  <si>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</si>
  <si>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</si>
  <si>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</si>
  <si>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</si>
  <si>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</si>
  <si>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</si>
  <si>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</si>
  <si>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</si>
  <si>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</si>
  <si>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</si>
  <si>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</si>
  <si>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</si>
  <si>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</si>
  <si>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</si>
  <si>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</si>
  <si>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</si>
  <si>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</si>
  <si>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</si>
  <si>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</si>
  <si>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</si>
  <si>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</si>
  <si>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</si>
  <si>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</si>
  <si>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</si>
  <si>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</si>
  <si>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</si>
  <si>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</si>
  <si>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</si>
  <si>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</si>
  <si>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</si>
  <si>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</si>
  <si>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</si>
  <si>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</si>
  <si>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</si>
  <si>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</si>
  <si>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</si>
  <si>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</si>
  <si>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</si>
  <si>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</si>
  <si>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</si>
  <si>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</si>
  <si>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</si>
  <si>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</si>
  <si>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</si>
  <si>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</si>
  <si>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</si>
  <si>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</si>
  <si>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</si>
  <si>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</si>
  <si>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</si>
  <si>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</si>
  <si>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</si>
  <si>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</si>
  <si>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</si>
  <si>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</si>
  <si>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</si>
  <si>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</si>
  <si>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</si>
  <si>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</si>
  <si>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</si>
  <si>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</si>
  <si>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</si>
  <si>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</si>
  <si>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</si>
  <si>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</si>
  <si>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</si>
  <si>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</si>
  <si>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</si>
  <si>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</si>
  <si>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</si>
  <si>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</si>
  <si>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</si>
  <si>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</si>
  <si>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</si>
  <si>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</si>
  <si>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</si>
  <si>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</si>
  <si>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</si>
  <si>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</si>
  <si>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</si>
  <si>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</si>
  <si>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</si>
  <si>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</si>
  <si>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</si>
  <si>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</si>
  <si>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</si>
  <si>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</si>
  <si>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</si>
  <si>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</si>
  <si>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</si>
  <si>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</si>
  <si>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</si>
  <si>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</si>
  <si>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</si>
  <si>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</si>
  <si>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</si>
  <si>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</si>
  <si>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</si>
  <si>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</si>
  <si>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</si>
  <si>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</si>
  <si>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</si>
  <si>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</si>
  <si>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</si>
  <si>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</si>
  <si>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</si>
  <si>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</si>
  <si>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</si>
  <si>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</si>
  <si>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</si>
  <si>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</si>
  <si>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</si>
  <si>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</si>
  <si>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</si>
  <si>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</si>
  <si>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</si>
  <si>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</si>
  <si>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</si>
  <si>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</si>
  <si>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</si>
  <si>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</si>
  <si>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</si>
  <si>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</si>
  <si>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</si>
  <si>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</si>
  <si>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</si>
  <si>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</si>
  <si>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</si>
  <si>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</si>
  <si>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</si>
  <si>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</si>
  <si>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</si>
  <si>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</si>
  <si>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</si>
  <si>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</si>
  <si>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</si>
  <si>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</si>
  <si>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</si>
  <si>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</si>
  <si>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</si>
  <si>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</si>
  <si>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</si>
  <si>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</si>
  <si>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</si>
  <si>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</si>
  <si>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</si>
  <si>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</si>
  <si>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</si>
  <si>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</si>
  <si>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</si>
  <si>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</si>
  <si>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</si>
  <si>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</si>
  <si>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</si>
  <si>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</si>
  <si>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</si>
  <si>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</si>
  <si>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</si>
  <si>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</si>
  <si>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</si>
  <si>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</si>
  <si>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</si>
  <si>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</si>
  <si>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</si>
  <si>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</si>
  <si>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</si>
  <si>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</si>
  <si>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</si>
  <si>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</si>
  <si>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</si>
  <si>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</si>
  <si>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</si>
  <si>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</si>
  <si>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</si>
  <si>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</si>
  <si>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</si>
  <si>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</si>
  <si>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</si>
  <si>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</si>
  <si>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</si>
  <si>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</si>
  <si>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</si>
  <si>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</si>
  <si>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</si>
  <si>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</si>
  <si>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</si>
  <si>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</si>
  <si>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</si>
  <si>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</si>
  <si>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</si>
  <si>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</si>
  <si>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</si>
  <si>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</si>
  <si>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</si>
  <si>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</si>
  <si>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</si>
  <si>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</si>
  <si>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</si>
  <si>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</si>
  <si>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</si>
  <si>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</si>
  <si>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</si>
  <si>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</si>
  <si>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</si>
  <si>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</si>
  <si>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</si>
  <si>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</si>
  <si>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</si>
  <si>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</si>
  <si>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</si>
  <si>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</si>
  <si>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</si>
  <si>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</si>
  <si>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</si>
  <si>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</si>
  <si>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</si>
  <si>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</si>
  <si>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</si>
  <si>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</si>
  <si>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</si>
  <si>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</si>
  <si>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</si>
  <si>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</si>
  <si>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</si>
  <si>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</si>
  <si>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</si>
  <si>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</si>
  <si>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</si>
  <si>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</si>
  <si>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</si>
  <si>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</si>
  <si>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</si>
  <si>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</si>
  <si>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</si>
  <si>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</si>
  <si>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</si>
  <si>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</si>
  <si>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</si>
  <si>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</si>
  <si>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</si>
  <si>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</si>
  <si>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</si>
  <si>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</si>
  <si>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</si>
  <si>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</si>
  <si>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</si>
  <si>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</si>
  <si>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</si>
  <si>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</si>
  <si>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</si>
  <si>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</si>
  <si>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</si>
  <si>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</si>
  <si>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</si>
  <si>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</si>
  <si>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</si>
  <si>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</si>
  <si>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</si>
  <si>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</si>
  <si>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</si>
  <si>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</si>
  <si>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</si>
  <si>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</si>
  <si>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</si>
  <si>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</si>
  <si>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</si>
  <si>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</si>
  <si>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</si>
  <si>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</si>
  <si>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</si>
  <si>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</si>
  <si>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</si>
  <si>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</si>
  <si>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</si>
  <si>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</si>
  <si>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</si>
  <si>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</si>
  <si>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</si>
  <si>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</si>
  <si>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</si>
  <si>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</si>
  <si>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</si>
  <si>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</si>
  <si>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</si>
  <si>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</si>
  <si>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</si>
  <si>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</si>
  <si>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</si>
  <si>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</si>
  <si>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</si>
  <si>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</si>
  <si>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</si>
  <si>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</si>
  <si>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</si>
  <si>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</si>
  <si>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</si>
  <si>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</si>
  <si>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</si>
  <si>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</si>
  <si>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</si>
  <si>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</si>
  <si>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</si>
  <si>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</si>
  <si>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</si>
  <si>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</si>
  <si>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</si>
  <si>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</si>
  <si>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</si>
  <si>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</si>
  <si>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</si>
  <si>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</si>
  <si>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</si>
  <si>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</si>
  <si>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</si>
  <si>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</si>
  <si>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</si>
  <si>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</si>
  <si>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</si>
  <si>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</si>
  <si>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</si>
  <si>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</si>
  <si>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</si>
  <si>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</si>
  <si>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</si>
  <si>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</si>
  <si>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</si>
  <si>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</si>
  <si>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</si>
  <si>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</si>
  <si>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</si>
  <si>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</si>
  <si>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</si>
  <si>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</si>
  <si>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</si>
  <si>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</si>
  <si>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</si>
  <si>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</si>
  <si>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</si>
  <si>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</si>
  <si>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</si>
  <si>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</si>
  <si>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</si>
  <si>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</si>
  <si>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</si>
  <si>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</si>
  <si>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</si>
  <si>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</si>
  <si>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</si>
  <si>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</si>
  <si>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</si>
  <si>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</si>
  <si>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</si>
  <si>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</si>
  <si>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</si>
  <si>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</si>
  <si>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</si>
  <si>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</si>
  <si>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</si>
  <si>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</si>
  <si>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</si>
  <si>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</si>
  <si>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</si>
  <si>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</si>
  <si>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</si>
  <si>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</si>
  <si>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</si>
  <si>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</si>
  <si>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</si>
  <si>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</si>
  <si>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</si>
  <si>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</si>
  <si>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</si>
  <si>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</si>
  <si>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</si>
  <si>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</si>
  <si>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</si>
  <si>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</si>
  <si>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</si>
  <si>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</si>
  <si>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</si>
  <si>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</si>
  <si>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</si>
  <si>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</si>
  <si>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</si>
  <si>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</si>
  <si>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</si>
  <si>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</si>
  <si>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</si>
  <si>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</si>
  <si>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</si>
  <si>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</si>
  <si>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</si>
  <si>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</si>
  <si>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</si>
  <si>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</si>
  <si>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</si>
  <si>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</si>
  <si>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</si>
  <si>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</si>
  <si>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</si>
  <si>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</si>
  <si>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</si>
  <si>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</si>
  <si>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</si>
  <si>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</si>
  <si>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</si>
  <si>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</si>
  <si>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</si>
  <si>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</si>
  <si>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</si>
  <si>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</si>
  <si>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</si>
  <si>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</si>
  <si>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</si>
  <si>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</si>
  <si>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</si>
  <si>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</si>
  <si>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</si>
  <si>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</si>
  <si>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</si>
  <si>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</si>
  <si>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</si>
  <si>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</si>
  <si>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</si>
  <si>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</si>
  <si>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</si>
  <si>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</si>
  <si>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</si>
  <si>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</si>
  <si>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</si>
  <si>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</si>
  <si>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</si>
  <si>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</si>
  <si>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</si>
  <si>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</si>
  <si>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</si>
  <si>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</si>
  <si>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</si>
  <si>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</si>
  <si>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</si>
  <si>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</si>
  <si>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</si>
  <si>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</si>
  <si>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</si>
  <si>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</si>
  <si>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</si>
  <si>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</si>
  <si>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</si>
  <si>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</si>
  <si>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</si>
  <si>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</si>
  <si>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</si>
  <si>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</si>
  <si>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</si>
  <si>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</si>
  <si>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</si>
  <si>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</si>
  <si>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</si>
  <si>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</si>
  <si>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</si>
  <si>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</si>
  <si>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</si>
  <si>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</si>
  <si>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</si>
  <si>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</si>
  <si>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</si>
  <si>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</si>
  <si>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</si>
  <si>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</si>
  <si>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</si>
  <si>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</si>
  <si>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</si>
  <si>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</si>
  <si>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</si>
  <si>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</si>
  <si>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</si>
  <si>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</si>
  <si>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</si>
  <si>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</si>
  <si>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</si>
  <si>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</si>
  <si>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</si>
  <si>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</si>
  <si>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</si>
  <si>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</si>
  <si>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</si>
  <si>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</si>
  <si>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</si>
  <si>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</si>
  <si>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</si>
  <si>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</si>
  <si>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</si>
  <si>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</si>
  <si>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</si>
  <si>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</si>
  <si>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</si>
  <si>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</si>
  <si>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</si>
  <si>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</si>
  <si>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</si>
  <si>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</si>
  <si>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</si>
  <si>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</si>
  <si>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</si>
  <si>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</si>
  <si>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</si>
  <si>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</si>
  <si>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</si>
  <si>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</si>
  <si>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</si>
  <si>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</si>
  <si>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</si>
  <si>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</si>
  <si>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</si>
  <si>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</si>
  <si>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</si>
  <si>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</si>
  <si>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</si>
  <si>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</si>
  <si>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</si>
  <si>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</si>
  <si>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</si>
  <si>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</si>
  <si>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</si>
  <si>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</si>
  <si>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</si>
  <si>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</si>
  <si>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</si>
  <si>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</si>
  <si>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</si>
  <si>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</si>
  <si>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</si>
  <si>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</si>
  <si>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</si>
  <si>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</si>
  <si>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</si>
  <si>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</si>
  <si>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</si>
  <si>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</si>
  <si>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</si>
  <si>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</si>
  <si>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</si>
  <si>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</si>
  <si>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</si>
  <si>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</si>
  <si>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</si>
  <si>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</si>
  <si>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</si>
  <si>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</si>
  <si>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</si>
  <si>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</si>
  <si>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</si>
  <si>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</si>
  <si>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</si>
  <si>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</si>
  <si>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</si>
  <si>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</si>
  <si>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</si>
  <si>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</si>
  <si>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</si>
  <si>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</si>
  <si>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</si>
  <si>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</si>
  <si>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</si>
  <si>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</si>
  <si>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</si>
  <si>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</si>
  <si>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</si>
  <si>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</si>
  <si>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</si>
  <si>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</si>
  <si>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</si>
  <si>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</si>
  <si>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</si>
  <si>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</si>
  <si>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</si>
  <si>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</si>
  <si>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</si>
  <si>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</si>
  <si>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</si>
  <si>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</si>
  <si>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</si>
  <si>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</si>
  <si>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</si>
  <si>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</si>
  <si>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</si>
  <si>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</si>
  <si>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</si>
  <si>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</si>
  <si>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</si>
  <si>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</si>
  <si>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</si>
  <si>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</si>
  <si>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</si>
  <si>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</si>
  <si>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</si>
  <si>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</si>
  <si>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</si>
  <si>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</si>
  <si>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</si>
  <si>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</si>
  <si>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</si>
  <si>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</si>
  <si>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</si>
  <si>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</si>
  <si>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</si>
  <si>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</si>
  <si>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</si>
  <si>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</si>
  <si>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</si>
  <si>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</si>
  <si>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</si>
  <si>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</si>
  <si>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</si>
  <si>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</si>
  <si>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</si>
  <si>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</si>
  <si>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</si>
  <si>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</si>
  <si>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</si>
  <si>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</si>
  <si>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</si>
  <si>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</si>
  <si>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</si>
  <si>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</si>
  <si>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</si>
  <si>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</si>
  <si>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</si>
  <si>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</si>
  <si>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</si>
  <si>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</si>
  <si>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</si>
  <si>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</si>
  <si>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</si>
  <si>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</si>
  <si>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</si>
  <si>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</si>
  <si>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</si>
  <si>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</si>
  <si>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</si>
  <si>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</si>
  <si>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</si>
  <si>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</si>
  <si>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</si>
  <si>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</si>
  <si>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</si>
  <si>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</si>
  <si>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</si>
  <si>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</si>
  <si>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</si>
  <si>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</si>
  <si>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</si>
  <si>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</si>
  <si>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</si>
  <si>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</si>
  <si>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</si>
  <si>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</si>
  <si>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</si>
  <si>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</si>
  <si>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</si>
  <si>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</si>
  <si>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</si>
  <si>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</si>
  <si>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</si>
  <si>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</si>
  <si>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</si>
  <si>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</si>
  <si>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</si>
  <si>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</si>
  <si>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</si>
  <si>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</si>
  <si>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</si>
  <si>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</si>
  <si>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</si>
  <si>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</si>
  <si>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</si>
  <si>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</si>
  <si>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</si>
  <si>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</si>
  <si>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</si>
  <si>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</si>
  <si>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</si>
  <si>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</si>
  <si>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</si>
  <si>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</si>
  <si>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</si>
  <si>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</si>
  <si>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</si>
  <si>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</si>
  <si>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</si>
  <si>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</si>
  <si>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</si>
  <si>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</si>
  <si>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</si>
  <si>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</si>
  <si>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</si>
  <si>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</si>
  <si>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</si>
  <si>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</si>
  <si>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</si>
  <si>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</si>
  <si>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</si>
  <si>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</si>
  <si>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</si>
  <si>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</si>
  <si>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</si>
  <si>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</si>
  <si>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</si>
  <si>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</si>
  <si>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</si>
  <si>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</si>
  <si>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</si>
  <si>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</si>
  <si>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</si>
  <si>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</si>
  <si>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</si>
  <si>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</si>
  <si>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</si>
  <si>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</si>
  <si>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</si>
  <si>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</si>
  <si>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</si>
  <si>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</si>
  <si>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</si>
  <si>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</si>
  <si>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</si>
  <si>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</si>
  <si>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</si>
  <si>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</si>
  <si>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</si>
  <si>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</si>
  <si>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</si>
  <si>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</si>
  <si>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</si>
  <si>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</si>
  <si>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</si>
  <si>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</si>
  <si>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</si>
  <si>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</si>
  <si>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</si>
  <si>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</si>
  <si>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</si>
  <si>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</si>
  <si>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</si>
  <si>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</si>
  <si>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</si>
  <si>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</si>
  <si>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</si>
  <si>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</si>
  <si>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</si>
  <si>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</si>
  <si>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</si>
  <si>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</si>
  <si>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</si>
  <si>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</si>
  <si>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</si>
  <si>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</si>
  <si>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</si>
  <si>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</si>
  <si>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</si>
  <si>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</si>
  <si>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</si>
  <si>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</si>
  <si>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</si>
  <si>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</si>
  <si>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</si>
  <si>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</si>
  <si>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</si>
  <si>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</si>
  <si>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</si>
  <si>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</si>
  <si>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</si>
  <si>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</si>
  <si>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</si>
  <si>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</si>
  <si>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</si>
  <si>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</si>
  <si>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</si>
  <si>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</si>
  <si>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</si>
  <si>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</si>
  <si>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</si>
  <si>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</si>
  <si>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</si>
  <si>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</si>
  <si>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</si>
  <si>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</si>
  <si>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</si>
  <si>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</si>
  <si>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</si>
  <si>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</si>
  <si>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</si>
  <si>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</si>
  <si>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</si>
  <si>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</si>
  <si>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</si>
  <si>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</si>
  <si>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</si>
  <si>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</si>
  <si>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</si>
  <si>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</si>
  <si>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</si>
  <si>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</si>
  <si>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</si>
  <si>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</si>
  <si>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</si>
  <si>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</si>
  <si>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</si>
  <si>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</si>
  <si>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</si>
  <si>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</si>
  <si>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</si>
  <si>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</si>
  <si>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</si>
  <si>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</si>
  <si>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</si>
  <si>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</si>
  <si>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</si>
  <si>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</si>
  <si>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</si>
  <si>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</si>
  <si>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</si>
  <si>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</si>
  <si>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</si>
  <si>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</si>
  <si>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</si>
  <si>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</si>
  <si>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</si>
  <si>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</si>
  <si>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</si>
  <si>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</si>
  <si>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</si>
  <si>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</si>
  <si>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</si>
  <si>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</si>
  <si>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</si>
  <si>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</si>
  <si>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</si>
  <si>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</si>
  <si>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</si>
  <si>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</si>
  <si>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</si>
  <si>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</si>
  <si>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</si>
  <si>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</si>
  <si>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</si>
  <si>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</si>
  <si>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</si>
  <si>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</si>
  <si>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</si>
  <si>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</si>
  <si>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</si>
  <si>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</si>
  <si>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</si>
  <si>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</si>
  <si>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</si>
  <si>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</si>
  <si>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</si>
  <si>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</si>
  <si>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</si>
  <si>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</si>
  <si>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</si>
  <si>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</si>
  <si>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</si>
  <si>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</si>
  <si>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</si>
  <si>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</si>
  <si>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</si>
  <si>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</si>
  <si>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</si>
  <si>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</si>
  <si>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</si>
  <si>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</si>
  <si>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</si>
  <si>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</si>
  <si>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</si>
  <si>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</si>
  <si>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</si>
  <si>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</si>
  <si>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</si>
  <si>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</si>
  <si>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</si>
  <si>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</si>
  <si>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</si>
  <si>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</si>
  <si>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</si>
  <si>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</si>
  <si>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</si>
  <si>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</si>
  <si>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</si>
  <si>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</si>
  <si>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</si>
  <si>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</si>
  <si>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</si>
  <si>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</si>
  <si>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</si>
  <si>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</si>
  <si>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</si>
  <si>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</si>
  <si>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</si>
  <si>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</si>
  <si>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</si>
  <si>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</si>
  <si>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</si>
  <si>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</si>
  <si>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</si>
  <si>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</si>
  <si>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</si>
  <si>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</si>
  <si>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</si>
  <si>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</si>
  <si>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</si>
  <si>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</si>
  <si>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</si>
  <si>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</si>
  <si>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</si>
  <si>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</si>
  <si>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</si>
  <si>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</si>
  <si>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</si>
  <si>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</si>
  <si>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</si>
  <si>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</si>
  <si>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</si>
  <si>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</si>
  <si>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</si>
  <si>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</si>
  <si>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</si>
  <si>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</si>
  <si>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</si>
  <si>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</si>
  <si>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</si>
  <si>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</si>
  <si>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</si>
  <si>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</si>
  <si>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</si>
  <si>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</si>
  <si>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</si>
  <si>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</si>
  <si>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</si>
  <si>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</si>
  <si>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</si>
  <si>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</si>
  <si>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</si>
  <si>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</si>
  <si>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</si>
  <si>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</si>
  <si>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</si>
  <si>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</si>
  <si>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</si>
  <si>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</si>
  <si>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</si>
  <si>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</si>
  <si>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</si>
  <si>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</si>
  <si>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</si>
  <si>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</si>
  <si>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</si>
  <si>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</si>
  <si>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</si>
  <si>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</si>
  <si>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</si>
  <si>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</si>
  <si>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</si>
  <si>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</si>
  <si>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</si>
  <si>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</si>
  <si>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</si>
  <si>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</si>
  <si>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</si>
  <si>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</si>
  <si>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</si>
  <si>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</si>
  <si>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</si>
  <si>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</si>
  <si>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</si>
  <si>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</si>
  <si>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</si>
  <si>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</si>
  <si>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</si>
  <si>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</si>
  <si>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</si>
  <si>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</si>
  <si>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</si>
  <si>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</si>
  <si>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</si>
  <si>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</si>
  <si>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</si>
  <si>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</si>
  <si>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</si>
  <si>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</si>
  <si>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</si>
  <si>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</si>
  <si>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</si>
  <si>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</si>
  <si>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</si>
  <si>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</si>
  <si>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</si>
  <si>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</si>
  <si>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</si>
  <si>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</si>
  <si>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</si>
  <si>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</si>
  <si>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</si>
  <si>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</si>
  <si>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</si>
  <si>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</si>
  <si>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</si>
  <si>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</si>
  <si>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</si>
  <si>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</si>
  <si>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</si>
  <si>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</si>
  <si>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</si>
  <si>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</si>
  <si>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</si>
  <si>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</si>
  <si>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</si>
  <si>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</si>
  <si>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</si>
  <si>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</si>
  <si>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</si>
  <si>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</si>
  <si>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</si>
  <si>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</si>
  <si>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</si>
  <si>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</si>
  <si>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</si>
  <si>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</si>
  <si>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</si>
  <si>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</si>
  <si>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</si>
  <si>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</si>
  <si>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</si>
  <si>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</si>
  <si>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</si>
  <si>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</si>
  <si>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</si>
  <si>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</si>
  <si>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</si>
  <si>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</si>
  <si>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</si>
  <si>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</si>
  <si>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</si>
  <si>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</si>
  <si>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</si>
  <si>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</si>
  <si>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</si>
  <si>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</si>
  <si>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</si>
  <si>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</si>
  <si>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</si>
  <si>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</si>
  <si>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</si>
  <si>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</si>
  <si>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</si>
  <si>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</si>
  <si>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</si>
  <si>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</si>
  <si>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</si>
  <si>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</si>
  <si>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</si>
  <si>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</si>
  <si>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</si>
  <si>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</si>
  <si>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</si>
  <si>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</si>
  <si>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</si>
  <si>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</si>
  <si>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</si>
  <si>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</si>
  <si>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</si>
  <si>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</si>
  <si>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</si>
  <si>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</si>
  <si>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</si>
  <si>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</si>
  <si>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</si>
  <si>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</si>
  <si>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</si>
  <si>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</si>
  <si>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</si>
  <si>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</si>
  <si>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</si>
  <si>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</si>
  <si>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</si>
  <si>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</si>
  <si>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</si>
  <si>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</si>
  <si>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</si>
  <si>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</si>
  <si>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</si>
  <si>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</si>
  <si>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</si>
  <si>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</si>
  <si>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</si>
  <si>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</si>
  <si>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</si>
  <si>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</si>
  <si>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</si>
  <si>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</si>
  <si>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</si>
  <si>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</si>
  <si>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</si>
  <si>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</si>
  <si>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</si>
  <si>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</si>
  <si>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</si>
  <si>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</si>
  <si>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</si>
  <si>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</si>
  <si>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</si>
  <si>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</si>
  <si>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</si>
  <si>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</si>
  <si>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</si>
  <si>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</si>
  <si>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</si>
  <si>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</si>
  <si>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</si>
  <si>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</si>
  <si>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</si>
  <si>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</si>
  <si>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</si>
  <si>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</si>
  <si>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</si>
  <si>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</si>
  <si>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</si>
  <si>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</si>
  <si>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</si>
  <si>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</si>
  <si>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</si>
  <si>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</si>
  <si>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</si>
  <si>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</si>
  <si>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</si>
  <si>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</si>
  <si>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</si>
  <si>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</si>
  <si>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</si>
  <si>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</si>
  <si>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</si>
  <si>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</si>
  <si>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</si>
  <si>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</si>
  <si>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</si>
  <si>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</si>
  <si>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</si>
  <si>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</si>
  <si>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</si>
  <si>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</si>
  <si>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</si>
  <si>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</si>
  <si>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</si>
  <si>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</si>
  <si>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</si>
  <si>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</si>
  <si>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</si>
  <si>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</si>
  <si>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</si>
  <si>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</si>
  <si>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</si>
  <si>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</si>
  <si>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</si>
  <si>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</si>
  <si>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</si>
  <si>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</si>
  <si>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</si>
  <si>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</si>
  <si>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</si>
  <si>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</si>
  <si>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</si>
  <si>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</si>
  <si>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</si>
  <si>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</si>
  <si>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</si>
  <si>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</si>
  <si>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</si>
  <si>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</si>
  <si>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</si>
  <si>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</si>
  <si>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</si>
  <si>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</si>
  <si>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</si>
  <si>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</si>
  <si>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</si>
  <si>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</si>
  <si>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</si>
  <si>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</si>
  <si>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</si>
  <si>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</si>
  <si>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</si>
  <si>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</si>
  <si>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</si>
  <si>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</si>
  <si>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</si>
  <si>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</si>
  <si>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</si>
  <si>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</si>
  <si>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</si>
  <si>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</si>
  <si>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</si>
  <si>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</si>
  <si>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</si>
  <si>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</si>
  <si>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</si>
  <si>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</si>
  <si>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</si>
  <si>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</si>
  <si>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</si>
  <si>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</si>
  <si>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</si>
  <si>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</si>
  <si>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</si>
  <si>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</si>
  <si>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</si>
  <si>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</si>
  <si>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</si>
  <si>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</si>
  <si>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</si>
  <si>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</si>
  <si>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</si>
  <si>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</si>
  <si>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</si>
  <si>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</si>
  <si>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</si>
  <si>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</si>
  <si>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</si>
  <si>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</si>
  <si>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</si>
  <si>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</si>
  <si>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</si>
  <si>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</si>
  <si>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</si>
  <si>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</si>
  <si>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</si>
  <si>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</si>
  <si>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</si>
  <si>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</si>
  <si>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</si>
  <si>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</si>
  <si>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</si>
  <si>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</si>
  <si>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</si>
  <si>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</si>
  <si>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</si>
  <si>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</si>
  <si>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</si>
  <si>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</si>
  <si>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</si>
  <si>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</si>
  <si>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</si>
  <si>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</si>
  <si>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</si>
  <si>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</si>
  <si>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</si>
  <si>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</si>
  <si>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</si>
  <si>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</si>
  <si>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</si>
  <si>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</si>
  <si>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</si>
  <si>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</si>
  <si>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</si>
  <si>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</si>
  <si>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</si>
  <si>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</si>
  <si>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</si>
  <si>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</si>
  <si>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</si>
  <si>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</si>
  <si>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</si>
  <si>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</si>
  <si>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</si>
  <si>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</si>
  <si>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</si>
  <si>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</si>
  <si>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</si>
  <si>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</si>
  <si>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</si>
  <si>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</si>
  <si>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</si>
  <si>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</si>
  <si>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</si>
  <si>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</si>
  <si>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</si>
  <si>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</si>
  <si>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</si>
  <si>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</si>
  <si>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</si>
  <si>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</si>
  <si>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</si>
  <si>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</si>
  <si>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</si>
  <si>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</si>
  <si>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</si>
  <si>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</si>
  <si>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</si>
  <si>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</si>
  <si>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</si>
  <si>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</si>
  <si>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</si>
  <si>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</si>
  <si>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</si>
  <si>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</si>
  <si>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</si>
  <si>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</si>
  <si>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</si>
  <si>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</si>
  <si>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</si>
  <si>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</si>
  <si>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</si>
  <si>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</si>
  <si>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</si>
  <si>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</si>
  <si>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</si>
  <si>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</si>
  <si>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</si>
  <si>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</si>
  <si>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</si>
  <si>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</si>
  <si>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</si>
  <si>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</si>
  <si>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</si>
  <si>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</si>
  <si>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</si>
  <si>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</si>
  <si>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</si>
  <si>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</si>
  <si>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</si>
  <si>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</si>
  <si>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</si>
  <si>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</si>
  <si>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</si>
  <si>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</si>
  <si>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</si>
  <si>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</si>
  <si>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</si>
  <si>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</si>
  <si>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</si>
  <si>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</si>
  <si>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</si>
  <si>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</si>
  <si>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</si>
  <si>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</si>
  <si>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</si>
  <si>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</si>
  <si>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</si>
  <si>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</si>
  <si>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</si>
  <si>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</si>
  <si>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</si>
  <si>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</si>
  <si>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</si>
  <si>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</si>
  <si>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</si>
  <si>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</si>
  <si>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</si>
  <si>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</si>
  <si>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</si>
  <si>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</si>
  <si>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</si>
  <si>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</si>
  <si>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</si>
  <si>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</si>
  <si>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</si>
  <si>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</si>
  <si>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</si>
  <si>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</si>
  <si>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</si>
  <si>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</si>
  <si>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</si>
  <si>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</si>
  <si>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</si>
  <si>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</si>
  <si>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</si>
  <si>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</si>
  <si>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</si>
  <si>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</si>
  <si>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</si>
  <si>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</si>
  <si>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</si>
  <si>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</si>
  <si>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</si>
  <si>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</si>
  <si>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</si>
  <si>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</si>
  <si>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</si>
  <si>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</si>
  <si>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</si>
  <si>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</si>
  <si>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</si>
  <si>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</si>
  <si>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</si>
  <si>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</si>
  <si>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</si>
  <si>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</si>
  <si>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</si>
  <si>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</si>
  <si>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</si>
  <si>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</si>
  <si>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</si>
  <si>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</si>
  <si>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</si>
  <si>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</si>
  <si>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</si>
  <si>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</si>
  <si>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</si>
  <si>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</si>
  <si>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</si>
  <si>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</si>
  <si>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</si>
  <si>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</si>
  <si>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</si>
  <si>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</si>
  <si>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</si>
  <si>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</si>
  <si>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</si>
  <si>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</si>
  <si>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</si>
  <si>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</si>
  <si>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</si>
  <si>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</si>
  <si>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</si>
  <si>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</si>
  <si>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</si>
  <si>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</si>
  <si>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</si>
  <si>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</si>
  <si>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</si>
  <si>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</si>
  <si>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</si>
  <si>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</si>
  <si>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</si>
  <si>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</si>
  <si>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</si>
  <si>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</si>
  <si>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</si>
  <si>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</si>
  <si>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</si>
  <si>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</si>
  <si>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</si>
  <si>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</si>
  <si>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</si>
  <si>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</si>
  <si>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</si>
  <si>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</si>
  <si>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</si>
  <si>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</si>
  <si>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</si>
  <si>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</si>
  <si>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</si>
  <si>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</si>
  <si>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</si>
  <si>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</si>
  <si>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</si>
  <si>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</si>
  <si>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</si>
  <si>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</si>
  <si>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</si>
  <si>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</si>
  <si>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</si>
  <si>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</si>
  <si>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</si>
  <si>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</si>
  <si>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</si>
  <si>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</si>
  <si>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</si>
  <si>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</si>
  <si>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</si>
  <si>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</si>
  <si>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</si>
  <si>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</si>
  <si>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</si>
  <si>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</si>
  <si>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</si>
  <si>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</si>
  <si>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</si>
  <si>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</si>
  <si>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</si>
  <si>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</si>
  <si>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</si>
  <si>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</si>
  <si>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</si>
  <si>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</si>
  <si>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</si>
  <si>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</si>
  <si>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</si>
  <si>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</si>
  <si>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</si>
  <si>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</si>
  <si>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</si>
  <si>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</si>
  <si>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</si>
  <si>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</si>
  <si>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</si>
  <si>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</si>
  <si>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</si>
  <si>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</si>
  <si>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</si>
  <si>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</si>
  <si>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</si>
  <si>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</si>
  <si>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</si>
  <si>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</si>
  <si>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</si>
  <si>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</si>
  <si>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</si>
  <si>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</si>
  <si>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</si>
  <si>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</si>
  <si>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</si>
  <si>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</si>
  <si>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</si>
  <si>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</si>
  <si>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</si>
  <si>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</si>
  <si>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</si>
  <si>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</si>
  <si>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</si>
  <si>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</si>
  <si>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</si>
  <si>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</si>
  <si>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</si>
  <si>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</si>
  <si>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</si>
  <si>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</si>
  <si>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</si>
  <si>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</si>
  <si>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</si>
  <si>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</si>
  <si>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</si>
  <si>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</si>
  <si>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</si>
  <si>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</si>
  <si>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</si>
  <si>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</si>
  <si>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</si>
  <si>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</si>
  <si>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</si>
  <si>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</si>
  <si>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</si>
  <si>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</si>
  <si>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</si>
  <si>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</si>
  <si>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</si>
  <si>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</si>
  <si>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</si>
  <si>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</si>
  <si>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</si>
  <si>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</si>
  <si>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</si>
  <si>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</si>
  <si>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</si>
  <si>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</si>
  <si>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</si>
  <si>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</si>
  <si>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</si>
  <si>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</si>
  <si>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</si>
  <si>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</si>
  <si>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</si>
  <si>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</si>
  <si>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</si>
  <si>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</si>
  <si>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</si>
  <si>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</si>
  <si>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</si>
  <si>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</si>
  <si>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</si>
  <si>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</si>
  <si>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</si>
  <si>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</si>
  <si>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</si>
  <si>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</si>
  <si>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</si>
  <si>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</si>
  <si>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</si>
  <si>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</si>
  <si>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</si>
  <si>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</si>
  <si>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</si>
  <si>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</si>
  <si>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</si>
  <si>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</si>
  <si>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</si>
  <si>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</si>
  <si>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</si>
  <si>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</si>
  <si>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</si>
  <si>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</si>
  <si>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</si>
  <si>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</si>
  <si>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</si>
  <si>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</si>
  <si>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</si>
  <si>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</si>
  <si>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</si>
  <si>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</si>
  <si>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</si>
  <si>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</si>
  <si>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</si>
  <si>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</si>
  <si>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</si>
  <si>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</si>
  <si>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</si>
  <si>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</si>
  <si>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</si>
  <si>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</si>
  <si>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</si>
  <si>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</si>
  <si>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</si>
  <si>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</si>
  <si>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</si>
  <si>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</si>
  <si>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</si>
  <si>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</si>
  <si>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</si>
  <si>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</si>
  <si>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</si>
  <si>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</si>
  <si>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</si>
  <si>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</si>
  <si>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</si>
  <si>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</si>
  <si>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</si>
  <si>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</si>
  <si>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</si>
  <si>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</si>
  <si>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</si>
  <si>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</si>
  <si>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</si>
  <si>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</si>
  <si>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</si>
  <si>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</si>
  <si>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</si>
  <si>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</si>
  <si>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</si>
  <si>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</si>
  <si>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</si>
  <si>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</si>
  <si>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</si>
  <si>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</si>
  <si>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</si>
  <si>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</si>
  <si>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</si>
  <si>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</si>
  <si>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</si>
  <si>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</si>
  <si>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</si>
  <si>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</si>
  <si>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</si>
  <si>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</si>
  <si>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</si>
  <si>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</si>
  <si>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</si>
  <si>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</si>
  <si>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</si>
  <si>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</si>
  <si>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</si>
  <si>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</si>
  <si>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</si>
  <si>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</si>
  <si>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</si>
  <si>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</si>
  <si>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</si>
  <si>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</si>
  <si>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</si>
  <si>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</si>
  <si>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</si>
  <si>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</si>
  <si>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</si>
  <si>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</si>
  <si>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</si>
  <si>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</si>
  <si>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</si>
  <si>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</si>
  <si>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</si>
  <si>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</si>
  <si>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</si>
  <si>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</si>
  <si>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</si>
  <si>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</si>
  <si>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</si>
  <si>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</si>
  <si>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</si>
  <si>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</si>
  <si>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</si>
  <si>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</si>
  <si>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</si>
  <si>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</si>
  <si>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</si>
  <si>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</si>
  <si>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</si>
  <si>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</si>
  <si>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</si>
  <si>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</si>
  <si>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</si>
  <si>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</si>
  <si>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</si>
  <si>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</si>
  <si>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</si>
  <si>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</si>
  <si>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</si>
  <si>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</si>
  <si>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</si>
  <si>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</si>
  <si>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</si>
  <si>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</si>
  <si>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</si>
  <si>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</si>
  <si>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</si>
  <si>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</si>
  <si>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</si>
  <si>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</si>
  <si>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</si>
  <si>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</si>
  <si>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</si>
  <si>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</si>
  <si>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</si>
  <si>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</si>
  <si>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</si>
  <si>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</si>
  <si>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</si>
  <si>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</si>
  <si>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</si>
  <si>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</si>
  <si>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</si>
  <si>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</si>
  <si>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</si>
  <si>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</si>
  <si>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</si>
  <si>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</si>
  <si>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</si>
  <si>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</si>
  <si>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</si>
  <si>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</si>
  <si>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</si>
  <si>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</si>
  <si>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</si>
  <si>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</si>
  <si>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</si>
  <si>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</si>
  <si>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</si>
  <si>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</si>
  <si>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</si>
  <si>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</si>
  <si>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</si>
  <si>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</si>
  <si>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</si>
  <si>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</si>
  <si>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</si>
  <si>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</si>
  <si>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</si>
  <si>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</si>
  <si>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</si>
  <si>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</si>
  <si>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</si>
  <si>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</si>
  <si>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</si>
  <si>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</si>
  <si>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</si>
  <si>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</si>
  <si>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</si>
  <si>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</si>
  <si>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</si>
  <si>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</si>
  <si>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</si>
  <si>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</si>
  <si>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</si>
  <si>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</si>
  <si>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</si>
  <si>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</si>
  <si>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</si>
  <si>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</si>
  <si>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</si>
  <si>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</si>
  <si>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</si>
  <si>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</si>
  <si>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</si>
  <si>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</si>
  <si>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</si>
  <si>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</si>
  <si>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</si>
  <si>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</si>
  <si>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</si>
  <si>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</si>
  <si>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</si>
  <si>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</si>
  <si>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</si>
  <si>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</si>
  <si>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</si>
  <si>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</si>
  <si>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</si>
  <si>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</si>
  <si>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</si>
  <si>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</si>
  <si>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</si>
  <si>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</si>
  <si>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</si>
  <si>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</si>
  <si>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</si>
  <si>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</si>
  <si>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</si>
  <si>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</si>
  <si>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</si>
  <si>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</si>
  <si>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</si>
  <si>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</si>
  <si>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</si>
  <si>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</si>
  <si>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</si>
  <si>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</si>
  <si>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</si>
  <si>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</si>
  <si>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</si>
  <si>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</si>
  <si>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</si>
  <si>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</si>
  <si>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</si>
  <si>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</si>
  <si>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</si>
  <si>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</si>
  <si>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</si>
  <si>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</si>
  <si>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</si>
  <si>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</si>
  <si>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</si>
  <si>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</si>
  <si>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</si>
  <si>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</si>
  <si>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</si>
  <si>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</si>
  <si>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</si>
  <si>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</si>
  <si>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</si>
  <si>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</si>
  <si>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</si>
  <si>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</si>
  <si>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</si>
  <si>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</si>
  <si>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</si>
  <si>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</si>
  <si>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</si>
  <si>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</si>
  <si>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</si>
  <si>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</si>
  <si>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</si>
  <si>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</si>
  <si>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</si>
  <si>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</si>
  <si>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</si>
  <si>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</si>
  <si>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</si>
  <si>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</si>
  <si>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</si>
  <si>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</si>
  <si>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</si>
  <si>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</si>
  <si>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</si>
  <si>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</si>
  <si>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</si>
  <si>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</si>
  <si>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</si>
  <si>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</si>
  <si>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</si>
  <si>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</si>
  <si>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</si>
  <si>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</si>
  <si>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</si>
  <si>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</si>
  <si>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</si>
  <si>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</si>
  <si>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</si>
  <si>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</si>
  <si>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</si>
  <si>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</si>
  <si>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</si>
  <si>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</si>
  <si>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</si>
  <si>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</si>
  <si>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</si>
  <si>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</si>
  <si>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</si>
  <si>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</si>
  <si>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</si>
  <si>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</si>
  <si>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</si>
  <si>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</si>
  <si>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</si>
  <si>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</si>
  <si>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</si>
  <si>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</si>
  <si>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</si>
  <si>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</si>
  <si>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</si>
  <si>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</si>
  <si>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</si>
  <si>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</si>
  <si>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</si>
  <si>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</si>
  <si>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</si>
  <si>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</si>
  <si>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</si>
  <si>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</si>
  <si>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</si>
  <si>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</si>
  <si>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</si>
  <si>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</si>
  <si>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</si>
  <si>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</si>
  <si>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</si>
  <si>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</si>
  <si>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</si>
  <si>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</si>
  <si>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</si>
  <si>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</si>
  <si>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</si>
  <si>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</si>
  <si>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</si>
  <si>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</si>
  <si>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</si>
  <si>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</si>
  <si>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</si>
  <si>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</si>
  <si>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</si>
  <si>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</si>
  <si>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</si>
  <si>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</si>
  <si>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</si>
  <si>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</si>
  <si>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</si>
  <si>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</si>
  <si>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</si>
  <si>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</si>
  <si>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</si>
  <si>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</si>
  <si>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</si>
  <si>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</si>
  <si>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</si>
  <si>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</si>
  <si>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</si>
  <si>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</si>
  <si>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</si>
  <si>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</si>
  <si>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</si>
  <si>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</si>
  <si>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</si>
  <si>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</si>
  <si>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</si>
  <si>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</si>
  <si>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</si>
  <si>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</si>
  <si>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</si>
  <si>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</si>
  <si>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</si>
  <si>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</si>
  <si>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</si>
  <si>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</si>
  <si>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</si>
  <si>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</si>
  <si>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</si>
  <si>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</si>
  <si>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</si>
  <si>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</si>
  <si>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</si>
  <si>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</si>
  <si>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</si>
  <si>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</si>
  <si>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</si>
  <si>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</si>
  <si>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</si>
  <si>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</si>
  <si>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</si>
  <si>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</si>
  <si>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</si>
  <si>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</si>
  <si>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</si>
  <si>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</si>
  <si>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</si>
  <si>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</si>
  <si>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</si>
  <si>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</si>
  <si>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</si>
  <si>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</si>
  <si>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</si>
  <si>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</si>
  <si>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</si>
  <si>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</si>
  <si>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</si>
  <si>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</si>
  <si>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</si>
  <si>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</si>
  <si>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</si>
  <si>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</si>
  <si>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</si>
  <si>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</si>
  <si>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</si>
  <si>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</si>
  <si>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</si>
  <si>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</si>
  <si>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</si>
  <si>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</si>
  <si>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</si>
  <si>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</si>
  <si>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</si>
  <si>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</si>
  <si>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</si>
  <si>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</si>
  <si>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</si>
  <si>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</si>
  <si>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</si>
  <si>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</si>
  <si>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</si>
  <si>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</si>
  <si>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</si>
  <si>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</si>
  <si>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</si>
  <si>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</si>
  <si>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</si>
  <si>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</si>
  <si>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</si>
  <si>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</si>
  <si>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</si>
  <si>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</si>
  <si>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</si>
  <si>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</si>
  <si>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</si>
  <si>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</si>
  <si>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</si>
  <si>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</si>
  <si>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</si>
  <si>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</si>
  <si>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</si>
  <si>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</si>
  <si>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</si>
  <si>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</si>
  <si>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</si>
  <si>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</si>
  <si>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</si>
  <si>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</si>
  <si>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</si>
  <si>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</si>
  <si>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</si>
  <si>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</si>
  <si>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</si>
  <si>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</si>
  <si>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</si>
  <si>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</si>
  <si>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</si>
  <si>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</si>
  <si>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</si>
  <si>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</si>
  <si>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</si>
  <si>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</si>
  <si>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</si>
  <si>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</si>
  <si>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</si>
  <si>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</si>
  <si>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</si>
  <si>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</si>
  <si>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</si>
  <si>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</si>
  <si>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</si>
  <si>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</si>
  <si>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</si>
  <si>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</si>
  <si>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</si>
  <si>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</si>
  <si>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</si>
  <si>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</si>
  <si>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</si>
  <si>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</si>
  <si>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</si>
  <si>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</si>
  <si>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</si>
  <si>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</si>
  <si>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</si>
  <si>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</si>
  <si>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</si>
  <si>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</si>
  <si>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</si>
  <si>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</si>
  <si>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</si>
  <si>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</si>
  <si>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</si>
  <si>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</si>
  <si>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</si>
  <si>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</si>
  <si>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</si>
  <si>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</si>
  <si>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</si>
  <si>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</si>
  <si>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</si>
  <si>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</si>
  <si>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</si>
  <si>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</si>
  <si>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</si>
  <si>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</si>
  <si>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</si>
  <si>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</si>
  <si>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</si>
  <si>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</si>
  <si>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</si>
  <si>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</si>
  <si>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</si>
  <si>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</si>
  <si>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</si>
  <si>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</si>
  <si>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</si>
  <si>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</si>
  <si>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</si>
  <si>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</si>
  <si>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</si>
  <si>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</si>
  <si>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</si>
  <si>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</si>
  <si>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</si>
  <si>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</si>
  <si>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</si>
  <si>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</si>
  <si>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</si>
  <si>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</si>
  <si>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</si>
  <si>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</si>
  <si>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</si>
  <si>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</si>
  <si>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</si>
  <si>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</si>
  <si>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</si>
  <si>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</si>
  <si>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</si>
  <si>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</si>
  <si>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</si>
  <si>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</si>
  <si>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</si>
  <si>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</si>
  <si>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</si>
  <si>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</si>
  <si>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</si>
  <si>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</si>
  <si>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</si>
  <si>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</si>
  <si>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</si>
  <si>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</si>
  <si>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</si>
  <si>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</si>
  <si>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</si>
  <si>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</si>
  <si>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</si>
  <si>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</si>
  <si>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</si>
  <si>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</si>
  <si>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</si>
  <si>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</si>
  <si>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</si>
  <si>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</si>
  <si>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</si>
  <si>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</si>
  <si>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</si>
  <si>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</si>
  <si>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</si>
  <si>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</si>
  <si>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</si>
  <si>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</si>
  <si>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</si>
  <si>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</si>
  <si>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</si>
  <si>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</si>
  <si>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</si>
  <si>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</si>
  <si>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</si>
  <si>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</si>
  <si>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</si>
  <si>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</si>
  <si>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</si>
  <si>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</si>
  <si>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</si>
  <si>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</si>
  <si>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</si>
  <si>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</si>
  <si>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</si>
  <si>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</si>
  <si>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</si>
  <si>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</si>
  <si>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</si>
  <si>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</si>
  <si>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</si>
  <si>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</si>
  <si>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</si>
  <si>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</si>
  <si>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</si>
  <si>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</si>
  <si>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</si>
  <si>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</si>
  <si>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</si>
  <si>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</si>
  <si>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</si>
  <si>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</si>
  <si>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</si>
  <si>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</si>
  <si>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</si>
  <si>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</si>
  <si>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</si>
  <si>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</si>
  <si>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</si>
  <si>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</si>
  <si>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</si>
  <si>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</si>
  <si>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</si>
  <si>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</si>
  <si>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</si>
  <si>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</si>
  <si>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</si>
  <si>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</si>
  <si>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</si>
  <si>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</si>
  <si>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</si>
  <si>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</si>
  <si>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</si>
  <si>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</si>
  <si>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</si>
  <si>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</si>
  <si>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</si>
  <si>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</si>
  <si>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</si>
  <si>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</si>
  <si>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</si>
  <si>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</si>
  <si>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</si>
  <si>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</si>
  <si>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</si>
  <si>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</si>
  <si>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</si>
  <si>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</si>
  <si>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</si>
  <si>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</si>
  <si>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</si>
  <si>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</si>
  <si>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</si>
  <si>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</si>
  <si>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</si>
  <si>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</si>
  <si>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</si>
  <si>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</si>
  <si>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</si>
  <si>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</si>
  <si>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</si>
  <si>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</si>
  <si>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</si>
  <si>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</si>
  <si>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</si>
  <si>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</si>
  <si>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</si>
  <si>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</si>
  <si>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</si>
  <si>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</si>
  <si>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</si>
  <si>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</si>
  <si>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</si>
  <si>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</si>
  <si>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</si>
  <si>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</si>
  <si>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</si>
  <si>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</si>
  <si>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</si>
  <si>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</si>
  <si>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</si>
  <si>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</si>
  <si>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</si>
  <si>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</si>
  <si>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</si>
  <si>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</si>
  <si>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</si>
  <si>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</si>
  <si>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</si>
  <si>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</si>
  <si>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</si>
  <si>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</si>
  <si>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</si>
  <si>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</si>
  <si>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</si>
  <si>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</si>
  <si>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</si>
  <si>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</si>
  <si>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</si>
  <si>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</si>
  <si>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</si>
  <si>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</si>
  <si>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</si>
  <si>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</si>
  <si>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</si>
  <si>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</si>
  <si>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</si>
  <si>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</si>
  <si>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</si>
  <si>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</si>
  <si>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</si>
  <si>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</si>
  <si>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</si>
  <si>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</si>
  <si>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</si>
  <si>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</si>
  <si>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</si>
  <si>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</si>
  <si>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</si>
  <si>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</si>
  <si>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</si>
  <si>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</si>
  <si>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</si>
  <si>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</si>
  <si>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</si>
  <si>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</si>
  <si>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</si>
  <si>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</si>
  <si>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</si>
  <si>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</si>
  <si>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</si>
  <si>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</si>
  <si>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</si>
  <si>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</si>
  <si>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</si>
  <si>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</si>
  <si>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</si>
  <si>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</si>
  <si>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</si>
  <si>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</si>
  <si>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</si>
  <si>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</si>
  <si>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</si>
  <si>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</si>
  <si>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</si>
  <si>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</si>
  <si>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</si>
  <si>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</si>
  <si>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</si>
  <si>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</si>
  <si>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</si>
  <si>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</si>
  <si>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</si>
  <si>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</si>
  <si>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</si>
  <si>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</si>
  <si>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</si>
  <si>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</si>
  <si>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</si>
  <si>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</si>
  <si>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</si>
  <si>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</si>
  <si>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</si>
  <si>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</si>
  <si>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</si>
  <si>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</si>
  <si>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</si>
  <si>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</si>
  <si>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</si>
  <si>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</si>
  <si>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</si>
  <si>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</si>
  <si>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</si>
  <si>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</si>
  <si>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</si>
  <si>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</si>
  <si>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</si>
  <si>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</si>
  <si>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</si>
  <si>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</si>
  <si>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</si>
  <si>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</si>
  <si>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</si>
  <si>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</si>
  <si>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</si>
  <si>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</si>
  <si>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</si>
  <si>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</si>
  <si>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</si>
  <si>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</si>
  <si>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</si>
  <si>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</si>
  <si>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</si>
  <si>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</si>
  <si>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</si>
  <si>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</si>
  <si>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</si>
  <si>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</si>
  <si>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</si>
  <si>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</si>
  <si>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</si>
  <si>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</si>
  <si>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</si>
  <si>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</si>
  <si>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</si>
  <si>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</si>
  <si>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</si>
  <si>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</si>
  <si>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</si>
  <si>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</si>
  <si>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</si>
  <si>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</si>
  <si>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</si>
  <si>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</si>
  <si>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</si>
  <si>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</si>
  <si>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</si>
  <si>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</si>
  <si>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</si>
  <si>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</si>
  <si>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</si>
  <si>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</si>
  <si>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</si>
  <si>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</si>
  <si>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</si>
  <si>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</si>
  <si>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</si>
  <si>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</si>
  <si>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</si>
  <si>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</si>
  <si>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</si>
  <si>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</si>
  <si>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</si>
  <si>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</si>
  <si>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</si>
  <si>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</si>
  <si>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</si>
  <si>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</si>
  <si>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</si>
  <si>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</si>
  <si>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</si>
  <si>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</si>
  <si>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</si>
  <si>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</si>
  <si>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</si>
  <si>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</si>
  <si>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</si>
  <si>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</si>
  <si>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</si>
  <si>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</si>
  <si>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</si>
  <si>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</si>
  <si>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</si>
  <si>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</si>
  <si>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</si>
  <si>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</si>
  <si>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</si>
  <si>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</si>
  <si>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</si>
  <si>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</si>
  <si>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</si>
  <si>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</si>
  <si>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</si>
  <si>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</si>
  <si>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</si>
  <si>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</si>
  <si>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</si>
  <si>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</si>
  <si>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</si>
  <si>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</si>
  <si>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</si>
  <si>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</si>
  <si>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</si>
  <si>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</si>
  <si>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</si>
  <si>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</si>
  <si>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</si>
  <si>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</si>
  <si>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</si>
  <si>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</si>
  <si>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</si>
  <si>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</si>
  <si>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</si>
  <si>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</si>
  <si>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</si>
  <si>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</si>
  <si>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</si>
  <si>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</si>
  <si>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</si>
  <si>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</si>
  <si>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</si>
  <si>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</si>
  <si>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</si>
  <si>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</si>
  <si>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</si>
  <si>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</si>
  <si>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</si>
  <si>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</si>
  <si>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</si>
  <si>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</si>
  <si>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</si>
  <si>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</si>
  <si>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</si>
  <si>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</si>
  <si>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</si>
  <si>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</si>
  <si>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</si>
  <si>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</si>
  <si>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</si>
  <si>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</si>
  <si>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</si>
  <si>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</si>
  <si>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</si>
  <si>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</si>
  <si>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</si>
  <si>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</si>
  <si>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</si>
  <si>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</si>
  <si>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</si>
  <si>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</si>
  <si>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</si>
  <si>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</si>
  <si>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</si>
  <si>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</si>
  <si>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</si>
  <si>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</si>
  <si>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</si>
  <si>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</si>
  <si>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</si>
  <si>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</si>
  <si>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</si>
  <si>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</si>
  <si>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</si>
  <si>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</si>
  <si>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</si>
  <si>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</si>
  <si>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</si>
  <si>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</si>
  <si>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</si>
  <si>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</si>
  <si>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</si>
  <si>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</si>
  <si>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</si>
  <si>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</si>
  <si>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</si>
  <si>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</si>
  <si>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</si>
  <si>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</si>
  <si>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</si>
  <si>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</si>
  <si>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</si>
  <si>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</si>
  <si>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</si>
  <si>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</si>
  <si>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</si>
  <si>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</si>
  <si>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</si>
  <si>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</si>
  <si>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</si>
  <si>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</si>
  <si>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</si>
  <si>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</si>
  <si>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</si>
  <si>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</si>
  <si>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</si>
  <si>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</si>
  <si>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</si>
  <si>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</si>
  <si>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</si>
  <si>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</si>
  <si>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</si>
  <si>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</si>
  <si>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</si>
  <si>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</si>
  <si>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</si>
  <si>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</si>
  <si>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</si>
  <si>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</si>
  <si>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</si>
  <si>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</si>
  <si>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</si>
  <si>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</si>
  <si>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</si>
  <si>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</si>
  <si>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</si>
  <si>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</si>
  <si>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</si>
  <si>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</si>
  <si>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</si>
  <si>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</si>
  <si>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</si>
  <si>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</si>
  <si>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</si>
  <si>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</si>
  <si>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</si>
  <si>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</si>
  <si>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</si>
  <si>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</si>
  <si>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</si>
  <si>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</si>
  <si>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</si>
  <si>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</si>
  <si>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</si>
  <si>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</si>
  <si>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</si>
  <si>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</si>
  <si>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</si>
  <si>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</si>
  <si>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</si>
  <si>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</si>
  <si>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</si>
  <si>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</si>
  <si>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</si>
  <si>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</si>
  <si>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</si>
  <si>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</si>
  <si>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</si>
  <si>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</si>
  <si>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</si>
  <si>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</si>
  <si>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</si>
  <si>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</si>
  <si>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</si>
  <si>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</si>
  <si>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</si>
  <si>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</si>
  <si>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</si>
  <si>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</si>
  <si>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</si>
  <si>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</si>
  <si>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</si>
  <si>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</si>
  <si>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</si>
  <si>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</si>
  <si>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</si>
  <si>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</si>
  <si>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</si>
  <si>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</si>
  <si>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</si>
  <si>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</si>
  <si>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</si>
  <si>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</si>
  <si>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</si>
  <si>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</si>
  <si>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</si>
  <si>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</si>
  <si>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</si>
  <si>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</si>
  <si>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</si>
  <si>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</si>
  <si>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</si>
  <si>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</si>
  <si>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</si>
  <si>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</si>
  <si>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</si>
  <si>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</si>
  <si>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</si>
  <si>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</si>
  <si>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</si>
  <si>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</si>
  <si>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</si>
  <si>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</si>
  <si>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</si>
  <si>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</si>
  <si>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</si>
  <si>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</si>
  <si>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</si>
  <si>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</si>
  <si>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</si>
  <si>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</si>
  <si>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</si>
  <si>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</si>
  <si>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</si>
  <si>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</si>
  <si>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</si>
  <si>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</si>
  <si>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</si>
  <si>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</si>
  <si>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</si>
  <si>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</si>
  <si>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</si>
  <si>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</si>
  <si>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</si>
  <si>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</si>
  <si>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</si>
  <si>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</si>
  <si>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</si>
  <si>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</si>
  <si>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</si>
  <si>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</si>
  <si>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</si>
  <si>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</si>
  <si>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</si>
  <si>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</si>
  <si>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</si>
  <si>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</si>
  <si>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</si>
  <si>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</si>
  <si>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</si>
  <si>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</si>
  <si>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</si>
  <si>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</si>
  <si>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</si>
  <si>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</si>
  <si>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</si>
  <si>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</si>
  <si>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</si>
  <si>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</si>
  <si>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</si>
  <si>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</si>
  <si>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</si>
  <si>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</si>
  <si>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</si>
  <si>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</si>
  <si>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</si>
  <si>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</si>
  <si>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</si>
  <si>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</si>
  <si>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</si>
  <si>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</si>
  <si>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</si>
  <si>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</si>
  <si>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</si>
  <si>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</si>
  <si>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</si>
  <si>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</si>
  <si>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</si>
  <si>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</si>
  <si>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</si>
  <si>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</si>
  <si>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</si>
  <si>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</si>
  <si>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</si>
  <si>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</si>
  <si>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</si>
  <si>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</si>
  <si>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</si>
  <si>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</si>
  <si>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</si>
  <si>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</si>
  <si>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</si>
  <si>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</si>
  <si>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</si>
  <si>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</si>
  <si>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</si>
  <si>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</si>
  <si>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</si>
  <si>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</si>
  <si>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</si>
  <si>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</si>
  <si>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</si>
  <si>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</si>
  <si>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</si>
  <si>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</si>
  <si>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</si>
  <si>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</si>
  <si>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</si>
  <si>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</si>
  <si>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</si>
  <si>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</si>
  <si>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</si>
  <si>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</si>
  <si>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</si>
  <si>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</si>
  <si>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</si>
  <si>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</si>
  <si>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</si>
  <si>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</si>
  <si>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</si>
  <si>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</si>
  <si>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</si>
  <si>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</si>
  <si>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</si>
  <si>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</si>
  <si>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</si>
  <si>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</si>
  <si>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</si>
  <si>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</si>
  <si>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</si>
  <si>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</si>
  <si>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</si>
  <si>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</si>
  <si>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</si>
  <si>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</si>
  <si>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</si>
  <si>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</si>
  <si>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</si>
  <si>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</si>
  <si>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</si>
  <si>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</si>
  <si>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</si>
  <si>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</si>
  <si>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</si>
  <si>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</si>
  <si>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</si>
  <si>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</si>
  <si>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</si>
  <si>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</si>
  <si>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</si>
  <si>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</si>
  <si>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</si>
  <si>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</si>
  <si>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</si>
  <si>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</si>
  <si>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</si>
  <si>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</si>
  <si>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</si>
  <si>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</si>
  <si>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</si>
  <si>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</si>
  <si>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</si>
  <si>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</si>
  <si>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</si>
  <si>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</si>
  <si>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</si>
  <si>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</si>
  <si>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</si>
  <si>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</si>
  <si>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</si>
  <si>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</si>
  <si>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</si>
  <si>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</si>
  <si>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</si>
  <si>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</si>
  <si>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</si>
  <si>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</si>
  <si>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</si>
  <si>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</si>
  <si>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</si>
  <si>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</si>
  <si>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</si>
  <si>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</si>
  <si>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</si>
  <si>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</si>
  <si>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</si>
  <si>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</si>
  <si>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</si>
  <si>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</si>
  <si>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</si>
  <si>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</si>
  <si>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</si>
  <si>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</si>
  <si>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</si>
  <si>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</si>
  <si>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</si>
  <si>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</si>
  <si>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</si>
  <si>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</si>
  <si>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</si>
  <si>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</si>
  <si>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</si>
  <si>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</si>
  <si>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</si>
  <si>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</si>
  <si>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</si>
  <si>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</si>
  <si>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</si>
  <si>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</si>
  <si>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</si>
  <si>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</si>
  <si>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</si>
  <si>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</si>
  <si>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</si>
  <si>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</si>
  <si>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</si>
  <si>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</si>
  <si>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</si>
  <si>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</si>
  <si>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</si>
  <si>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</si>
  <si>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</si>
  <si>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</si>
  <si>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</si>
  <si>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</si>
  <si>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</si>
  <si>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</si>
  <si>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</si>
  <si>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</si>
  <si>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</si>
  <si>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</si>
  <si>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</si>
  <si>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</si>
  <si>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</si>
  <si>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</si>
  <si>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</si>
  <si>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</si>
  <si>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</si>
  <si>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</si>
  <si>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</si>
  <si>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</si>
  <si>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</si>
  <si>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</si>
  <si>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</si>
  <si>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</si>
  <si>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</si>
  <si>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</si>
  <si>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</si>
  <si>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</si>
  <si>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</si>
  <si>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</si>
  <si>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</si>
  <si>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</si>
  <si>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</si>
  <si>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</si>
  <si>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</si>
  <si>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</si>
  <si>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</si>
  <si>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</si>
  <si>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</si>
  <si>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</si>
  <si>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</si>
  <si>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</si>
  <si>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</si>
  <si>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</si>
  <si>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</si>
  <si>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</si>
  <si>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</si>
  <si>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</si>
  <si>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</si>
  <si>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</si>
  <si>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</si>
  <si>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</si>
  <si>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</si>
  <si>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</si>
  <si>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</si>
  <si>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</si>
  <si>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</si>
  <si>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</si>
  <si>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</si>
  <si>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</si>
  <si>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</si>
  <si>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</si>
  <si>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</si>
  <si>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</si>
  <si>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</si>
  <si>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</si>
  <si>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</si>
  <si>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</si>
  <si>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</si>
  <si>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</si>
  <si>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</si>
  <si>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</si>
  <si>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</si>
  <si>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</si>
  <si>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</si>
  <si>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</si>
  <si>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</si>
  <si>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</si>
  <si>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</si>
  <si>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</si>
  <si>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</si>
  <si>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</si>
  <si>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</si>
  <si>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</si>
  <si>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</si>
  <si>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</si>
  <si>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</si>
  <si>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</si>
  <si>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</si>
  <si>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</si>
  <si>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</si>
  <si>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</si>
  <si>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</si>
  <si>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</si>
  <si>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</si>
  <si>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</si>
  <si>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</si>
  <si>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</si>
  <si>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</si>
  <si>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</si>
  <si>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</si>
  <si>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</si>
  <si>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</si>
  <si>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</si>
  <si>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</si>
  <si>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</si>
  <si>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</si>
  <si>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</si>
  <si>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</si>
  <si>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</si>
  <si>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</si>
  <si>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</si>
  <si>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</si>
  <si>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</si>
  <si>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</si>
  <si>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</si>
  <si>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</si>
  <si>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</si>
  <si>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</si>
  <si>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</si>
  <si>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</si>
  <si>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</si>
  <si>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</si>
  <si>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</si>
  <si>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</si>
  <si>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</si>
  <si>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</si>
  <si>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</si>
  <si>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</si>
  <si>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</si>
  <si>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</si>
  <si>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</si>
  <si>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</si>
  <si>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</si>
  <si>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</si>
  <si>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</si>
  <si>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</si>
  <si>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</si>
  <si>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</si>
  <si>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</si>
  <si>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</si>
  <si>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</si>
  <si>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</si>
  <si>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</si>
  <si>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</si>
  <si>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</si>
  <si>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</si>
  <si>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</si>
  <si>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</si>
  <si>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</si>
  <si>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</si>
  <si>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</si>
  <si>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</si>
  <si>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</si>
  <si>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</si>
  <si>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</si>
  <si>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</si>
  <si>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</si>
  <si>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</si>
  <si>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</si>
  <si>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</si>
  <si>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</si>
  <si>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</si>
  <si>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</si>
  <si>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</si>
  <si>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</si>
  <si>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</si>
  <si>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</si>
  <si>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</si>
  <si>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</si>
  <si>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</si>
  <si>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</si>
  <si>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</si>
  <si>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</si>
  <si>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</si>
  <si>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</si>
  <si>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</si>
  <si>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</si>
  <si>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</si>
  <si>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</si>
  <si>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</si>
  <si>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</si>
  <si>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</si>
  <si>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</si>
  <si>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</si>
  <si>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</si>
  <si>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</si>
  <si>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</si>
  <si>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</si>
  <si>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</si>
  <si>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</si>
  <si>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</si>
  <si>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</si>
  <si>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</si>
  <si>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</si>
  <si>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</si>
  <si>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</si>
  <si>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</si>
  <si>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</si>
  <si>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</si>
  <si>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</si>
  <si>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</si>
  <si>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</si>
  <si>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</si>
  <si>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</si>
  <si>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</si>
  <si>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</si>
  <si>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</si>
  <si>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</si>
  <si>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</si>
  <si>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</si>
  <si>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</si>
  <si>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</si>
  <si>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</si>
  <si>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</si>
  <si>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</si>
  <si>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</si>
  <si>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</si>
  <si>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</si>
  <si>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</si>
  <si>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</si>
  <si>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</si>
  <si>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</si>
  <si>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</si>
  <si>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</si>
  <si>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</si>
  <si>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</si>
  <si>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</si>
  <si>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</si>
  <si>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</si>
  <si>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</si>
  <si>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</si>
  <si>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</si>
  <si>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</si>
  <si>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</si>
  <si>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</si>
  <si>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</si>
  <si>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</si>
  <si>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</si>
  <si>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</si>
  <si>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</si>
  <si>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</si>
  <si>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</si>
  <si>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</si>
  <si>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</si>
  <si>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</si>
  <si>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</si>
  <si>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</si>
  <si>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</si>
  <si>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</si>
  <si>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</si>
  <si>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</si>
  <si>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</si>
  <si>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</si>
  <si>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</si>
  <si>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</si>
  <si>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</si>
  <si>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</si>
  <si>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</si>
  <si>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</si>
  <si>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</si>
  <si>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</si>
  <si>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</si>
  <si>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</si>
  <si>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</si>
  <si>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</si>
  <si>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</si>
  <si>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</si>
  <si>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</si>
  <si>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</si>
  <si>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</si>
  <si>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</si>
  <si>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</si>
  <si>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</si>
  <si>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</si>
  <si>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</si>
  <si>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</si>
  <si>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</si>
  <si>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</si>
  <si>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</si>
  <si>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</si>
  <si>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</si>
  <si>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</si>
  <si>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</si>
  <si>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</si>
  <si>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</si>
  <si>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</si>
  <si>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</si>
  <si>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</si>
  <si>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</si>
  <si>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</si>
  <si>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</si>
  <si>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</si>
  <si>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</si>
  <si>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</si>
  <si>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</si>
  <si>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</si>
  <si>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</si>
  <si>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</si>
  <si>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</si>
  <si>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</si>
  <si>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</si>
  <si>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</si>
  <si>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</si>
  <si>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</si>
  <si>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</si>
  <si>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</si>
  <si>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</si>
  <si>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</si>
  <si>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</si>
  <si>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</si>
  <si>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</si>
  <si>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</si>
  <si>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</si>
  <si>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</si>
  <si>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</si>
  <si>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</si>
  <si>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</si>
  <si>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</si>
  <si>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</si>
  <si>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</si>
  <si>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</si>
  <si>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</si>
  <si>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</si>
  <si>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</si>
  <si>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</si>
  <si>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</si>
  <si>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</si>
  <si>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</si>
  <si>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</si>
  <si>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</si>
  <si>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</si>
  <si>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</si>
  <si>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</si>
  <si>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</si>
  <si>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</si>
  <si>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</si>
  <si>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</si>
  <si>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</si>
  <si>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</si>
  <si>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</si>
  <si>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</si>
  <si>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</si>
  <si>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</si>
  <si>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</si>
  <si>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</si>
  <si>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</si>
  <si>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</si>
  <si>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</si>
  <si>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</si>
  <si>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</si>
  <si>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</si>
  <si>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</si>
  <si>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</si>
  <si>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</si>
  <si>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</si>
  <si>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</si>
  <si>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</si>
  <si>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</si>
  <si>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</si>
  <si>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</si>
  <si>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</si>
  <si>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</si>
  <si>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</si>
  <si>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</si>
  <si>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</si>
  <si>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</si>
  <si>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</si>
  <si>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</si>
  <si>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</si>
  <si>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</si>
  <si>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</si>
  <si>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</si>
  <si>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</si>
  <si>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</si>
  <si>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</si>
  <si>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</si>
  <si>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</si>
  <si>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</si>
  <si>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</si>
  <si>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</si>
  <si>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</si>
  <si>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</si>
  <si>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</si>
  <si>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</si>
  <si>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</si>
  <si>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</si>
  <si>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</si>
  <si>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</si>
  <si>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</si>
  <si>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</si>
  <si>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</si>
  <si>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</si>
  <si>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</si>
  <si>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</si>
  <si>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</si>
  <si>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</si>
  <si>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</si>
  <si>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</si>
  <si>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</si>
  <si>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</si>
  <si>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</si>
  <si>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</si>
  <si>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</si>
  <si>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</si>
  <si>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</si>
  <si>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</si>
  <si>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</si>
  <si>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</si>
  <si>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</si>
  <si>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</si>
  <si>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</si>
  <si>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</si>
  <si>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</si>
  <si>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</si>
  <si>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</si>
  <si>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</si>
  <si>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</si>
  <si>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</si>
  <si>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</si>
  <si>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</si>
  <si>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</si>
  <si>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</si>
  <si>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</si>
  <si>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</si>
  <si>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</si>
  <si>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</si>
  <si>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</si>
  <si>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</si>
  <si>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</si>
  <si>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</si>
  <si>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</si>
  <si>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</si>
  <si>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</si>
  <si>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</si>
  <si>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</si>
  <si>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</si>
  <si>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</si>
  <si>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</si>
  <si>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</si>
  <si>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</si>
  <si>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</si>
  <si>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</si>
  <si>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</si>
  <si>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</si>
  <si>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</si>
  <si>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</si>
  <si>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</si>
  <si>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</si>
  <si>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</si>
  <si>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</si>
  <si>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</si>
  <si>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</si>
  <si>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</si>
  <si>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</si>
  <si>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</si>
  <si>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</si>
  <si>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</si>
  <si>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</si>
  <si>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</si>
  <si>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</si>
  <si>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</si>
  <si>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</si>
  <si>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</si>
  <si>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</si>
  <si>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</si>
  <si>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</si>
  <si>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</si>
  <si>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</si>
  <si>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</si>
  <si>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</si>
  <si>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</si>
  <si>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</si>
  <si>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</si>
  <si>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</si>
  <si>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</si>
  <si>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</si>
  <si>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</si>
  <si>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</si>
  <si>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</si>
  <si>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</si>
  <si>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</si>
  <si>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</si>
  <si>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</si>
  <si>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</si>
  <si>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</si>
  <si>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</si>
  <si>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</si>
  <si>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</si>
  <si>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</si>
  <si>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</si>
  <si>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</si>
  <si>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</si>
  <si>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</si>
  <si>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</si>
  <si>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</si>
  <si>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</si>
  <si>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</si>
  <si>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</si>
  <si>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</si>
  <si>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</si>
  <si>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</si>
  <si>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</si>
  <si>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</si>
  <si>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</si>
  <si>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</si>
  <si>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</si>
  <si>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</si>
  <si>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</si>
  <si>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</si>
  <si>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</si>
  <si>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</si>
  <si>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</si>
  <si>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</si>
  <si>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</si>
  <si>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</si>
  <si>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</si>
  <si>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</si>
  <si>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</si>
  <si>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</si>
  <si>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</si>
  <si>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</si>
  <si>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</si>
  <si>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</si>
  <si>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</si>
  <si>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</si>
  <si>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</si>
  <si>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</si>
  <si>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</si>
  <si>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</si>
  <si>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</si>
  <si>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</si>
  <si>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</si>
  <si>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</si>
  <si>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</si>
  <si>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</si>
  <si>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</si>
  <si>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</si>
  <si>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</si>
  <si>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</si>
  <si>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</si>
  <si>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</si>
  <si>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</si>
  <si>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</si>
  <si>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</si>
  <si>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</si>
  <si>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</si>
  <si>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</si>
  <si>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</si>
  <si>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</si>
  <si>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</si>
  <si>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</si>
  <si>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</si>
  <si>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</si>
  <si>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</si>
  <si>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</si>
  <si>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</si>
  <si>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</si>
  <si>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</si>
  <si>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</si>
  <si>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</si>
  <si>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</si>
  <si>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</si>
  <si>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</si>
  <si>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</si>
  <si>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</si>
  <si>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</si>
  <si>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</si>
  <si>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</si>
  <si>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</si>
  <si>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</si>
  <si>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</si>
  <si>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</si>
  <si>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</si>
  <si>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</si>
  <si>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</si>
  <si>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</si>
  <si>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</si>
  <si>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</si>
  <si>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</si>
  <si>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</si>
  <si>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</si>
  <si>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</si>
  <si>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</si>
  <si>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</si>
  <si>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</si>
  <si>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</si>
  <si>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</si>
  <si>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</si>
  <si>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</si>
  <si>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</si>
  <si>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</si>
  <si>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</si>
  <si>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</si>
  <si>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</si>
  <si>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</si>
  <si>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</si>
  <si>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</si>
  <si>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</si>
  <si>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</si>
  <si>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</si>
  <si>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</si>
  <si>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</si>
  <si>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</si>
  <si>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</si>
  <si>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</si>
  <si>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</si>
  <si>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</si>
  <si>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</si>
  <si>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</si>
  <si>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</si>
  <si>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</si>
  <si>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</si>
  <si>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</si>
  <si>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</si>
  <si>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</si>
  <si>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</si>
  <si>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</si>
  <si>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</si>
  <si>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</si>
  <si>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</si>
  <si>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</si>
  <si>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</si>
  <si>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</si>
  <si>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</si>
  <si>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</si>
  <si>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</si>
  <si>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</si>
  <si>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</si>
  <si>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</si>
  <si>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</si>
  <si>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</si>
  <si>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</si>
  <si>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</si>
  <si>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</si>
  <si>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</si>
  <si>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</si>
  <si>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</si>
  <si>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</si>
  <si>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</si>
  <si>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</si>
  <si>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</si>
  <si>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</si>
  <si>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</si>
  <si>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</si>
  <si>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</si>
  <si>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</si>
  <si>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</si>
  <si>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</si>
  <si>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</si>
  <si>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</si>
  <si>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</si>
  <si>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</si>
  <si>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</si>
  <si>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</si>
  <si>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</si>
  <si>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</si>
  <si>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</si>
  <si>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</si>
  <si>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</si>
  <si>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</si>
  <si>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</si>
  <si>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</si>
  <si>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</si>
  <si>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</si>
  <si>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</si>
  <si>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</si>
  <si>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</si>
  <si>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</si>
  <si>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</si>
  <si>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</si>
  <si>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</si>
  <si>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</si>
  <si>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</si>
  <si>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</si>
  <si>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</si>
  <si>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</si>
  <si>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</si>
  <si>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</si>
  <si>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</si>
  <si>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</si>
  <si>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</si>
  <si>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</si>
  <si>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</si>
  <si>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</si>
  <si>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</si>
  <si>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</si>
  <si>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</si>
  <si>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</si>
  <si>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</si>
  <si>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</si>
  <si>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</si>
  <si>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</si>
  <si>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</si>
  <si>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</si>
  <si>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</si>
  <si>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</si>
  <si>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</si>
  <si>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</si>
  <si>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</si>
  <si>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</si>
  <si>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</si>
  <si>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</si>
  <si>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</si>
  <si>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</si>
  <si>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</si>
  <si>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</si>
  <si>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</si>
  <si>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</si>
  <si>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</si>
  <si>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</si>
  <si>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</si>
  <si>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</si>
  <si>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</si>
  <si>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</si>
  <si>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</si>
  <si>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</si>
  <si>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</si>
  <si>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</si>
  <si>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</si>
  <si>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</si>
  <si>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</si>
  <si>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</si>
  <si>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</si>
  <si>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</si>
  <si>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</si>
  <si>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</si>
  <si>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</si>
  <si>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</si>
  <si>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</si>
  <si>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</si>
  <si>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</si>
  <si>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</si>
  <si>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</si>
  <si>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</si>
  <si>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</si>
  <si>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</si>
  <si>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</si>
  <si>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</si>
  <si>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</si>
  <si>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</si>
  <si>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</si>
  <si>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</si>
  <si>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</si>
  <si>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</si>
  <si>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</si>
  <si>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</si>
  <si>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</si>
  <si>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</si>
  <si>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</si>
  <si>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</si>
  <si>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</si>
  <si>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</si>
  <si>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</si>
  <si>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</si>
  <si>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</si>
  <si>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</si>
  <si>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</si>
  <si>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</si>
  <si>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</si>
  <si>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</si>
  <si>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</si>
  <si>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</si>
  <si>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</si>
  <si>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</si>
  <si>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</si>
  <si>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</si>
  <si>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</si>
  <si>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</si>
  <si>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</si>
  <si>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</si>
  <si>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</si>
  <si>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</si>
  <si>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</si>
  <si>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</si>
  <si>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</si>
  <si>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</si>
  <si>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</si>
  <si>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</si>
  <si>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</si>
  <si>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</si>
  <si>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</si>
  <si>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</si>
  <si>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</si>
  <si>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</si>
  <si>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</si>
  <si>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</si>
  <si>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</si>
  <si>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</si>
  <si>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</si>
  <si>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</si>
  <si>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</si>
  <si>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</si>
  <si>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</si>
  <si>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</si>
  <si>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</si>
  <si>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</si>
  <si>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</si>
  <si>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</si>
  <si>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</si>
  <si>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</si>
  <si>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</si>
  <si>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</si>
  <si>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</si>
  <si>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</si>
  <si>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</si>
  <si>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</si>
  <si>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</si>
  <si>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</si>
  <si>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</si>
  <si>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</si>
  <si>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</si>
  <si>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</si>
  <si>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</si>
  <si>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</si>
  <si>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</si>
  <si>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</si>
  <si>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</si>
  <si>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</si>
  <si>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</si>
  <si>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</si>
  <si>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</si>
  <si>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</si>
  <si>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</si>
  <si>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</si>
  <si>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</si>
  <si>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</si>
  <si>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</si>
  <si>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</si>
  <si>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</si>
  <si>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</si>
  <si>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</si>
  <si>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</si>
  <si>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</si>
  <si>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</si>
  <si>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</si>
  <si>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</si>
  <si>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</si>
  <si>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</si>
  <si>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</si>
  <si>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</si>
  <si>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</si>
  <si>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</si>
  <si>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</si>
  <si>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</si>
  <si>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</si>
  <si>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</si>
  <si>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</si>
  <si>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</si>
  <si>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</si>
  <si>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</si>
  <si>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</si>
  <si>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</si>
  <si>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</si>
  <si>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</si>
  <si>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</si>
  <si>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</si>
  <si>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</si>
  <si>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</si>
  <si>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</si>
  <si>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</si>
  <si>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</si>
  <si>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</si>
  <si>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</si>
  <si>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</si>
  <si>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</si>
  <si>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</si>
  <si>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</si>
  <si>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</si>
  <si>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</si>
  <si>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</si>
  <si>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</si>
  <si>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</si>
  <si>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</si>
  <si>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</si>
  <si>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</si>
  <si>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</si>
  <si>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</si>
  <si>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</si>
  <si>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</si>
  <si>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</si>
  <si>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</si>
  <si>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</si>
  <si>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</si>
  <si>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</si>
  <si>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</si>
  <si>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</si>
  <si>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</si>
  <si>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</si>
  <si>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</si>
  <si>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</si>
  <si>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</si>
  <si>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</si>
  <si>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</si>
  <si>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</si>
  <si>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</si>
  <si>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</si>
  <si>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</si>
  <si>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</si>
  <si>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</si>
  <si>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</si>
  <si>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</si>
  <si>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</si>
  <si>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</si>
  <si>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</si>
  <si>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</si>
  <si>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</si>
  <si>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</si>
  <si>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</si>
  <si>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</si>
  <si>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</si>
  <si>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</si>
  <si>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</si>
  <si>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</si>
  <si>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</si>
  <si>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</si>
  <si>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</si>
  <si>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</si>
  <si>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</si>
  <si>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</si>
  <si>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</si>
  <si>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</si>
  <si>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</si>
  <si>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</si>
  <si>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</si>
  <si>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</si>
  <si>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</si>
  <si>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</si>
  <si>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</si>
  <si>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</si>
  <si>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</si>
  <si>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</si>
  <si>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</si>
  <si>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</si>
  <si>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</si>
  <si>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</si>
  <si>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</si>
  <si>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</si>
  <si>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</si>
  <si>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</si>
  <si>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</si>
  <si>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</si>
  <si>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</si>
  <si>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</si>
  <si>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</si>
  <si>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</si>
  <si>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</si>
  <si>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</si>
  <si>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</si>
  <si>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</si>
  <si>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</si>
  <si>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</si>
  <si>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</si>
  <si>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</si>
  <si>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</si>
  <si>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</si>
  <si>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</si>
  <si>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</si>
  <si>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</si>
  <si>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</si>
  <si>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</si>
  <si>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</si>
  <si>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</si>
  <si>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</si>
  <si>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</si>
  <si>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</si>
  <si>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</si>
  <si>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</si>
  <si>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</si>
  <si>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</si>
  <si>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</si>
  <si>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</si>
  <si>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</si>
  <si>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</si>
  <si>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</si>
  <si>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</si>
  <si>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</si>
  <si>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</si>
  <si>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</si>
  <si>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</si>
  <si>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</si>
  <si>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</si>
  <si>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</si>
  <si>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</si>
  <si>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</si>
  <si>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</si>
  <si>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</si>
  <si>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</si>
  <si>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</si>
  <si>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</si>
  <si>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</si>
  <si>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</si>
  <si>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</si>
  <si>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</si>
  <si>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</si>
  <si>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</si>
  <si>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</si>
  <si>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</si>
  <si>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</si>
  <si>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</si>
  <si>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</si>
  <si>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</si>
  <si>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</si>
  <si>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</si>
  <si>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</si>
  <si>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</si>
  <si>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</si>
  <si>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</si>
  <si>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</si>
  <si>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</si>
  <si>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</si>
  <si>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</si>
  <si>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</si>
  <si>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</si>
  <si>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</si>
  <si>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</si>
  <si>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</si>
  <si>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</si>
  <si>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</si>
  <si>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</si>
  <si>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</si>
  <si>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</si>
  <si>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</si>
  <si>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</si>
  <si>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</si>
  <si>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</si>
  <si>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</si>
  <si>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</si>
  <si>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</si>
  <si>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</si>
  <si>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</si>
  <si>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</si>
  <si>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</si>
  <si>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</si>
  <si>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</si>
  <si>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</si>
  <si>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</si>
  <si>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</si>
  <si>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</si>
  <si>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</si>
  <si>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</si>
  <si>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</si>
  <si>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</si>
  <si>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</si>
  <si>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</si>
  <si>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</si>
  <si>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</si>
  <si>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</si>
  <si>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</si>
  <si>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</si>
  <si>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</si>
  <si>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</si>
  <si>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</si>
  <si>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</si>
  <si>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</si>
  <si>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</si>
  <si>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</si>
  <si>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</si>
  <si>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</si>
  <si>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</si>
  <si>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</si>
  <si>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</si>
  <si>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</si>
  <si>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</si>
  <si>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</si>
  <si>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</si>
  <si>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</si>
  <si>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</si>
  <si>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</si>
  <si>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</si>
  <si>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</si>
  <si>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</si>
  <si>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</si>
  <si>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</si>
  <si>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</si>
  <si>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</si>
  <si>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</si>
  <si>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</si>
  <si>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</si>
  <si>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</si>
  <si>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</si>
  <si>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</si>
  <si>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</si>
  <si>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</si>
  <si>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</si>
  <si>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</si>
  <si>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</si>
  <si>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</si>
  <si>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</si>
  <si>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</si>
  <si>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</si>
  <si>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</si>
  <si>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</si>
  <si>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</si>
  <si>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</si>
  <si>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</si>
  <si>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</si>
  <si>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</si>
  <si>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</si>
  <si>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</si>
  <si>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</si>
  <si>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</si>
  <si>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</si>
  <si>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</si>
  <si>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</si>
  <si>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</si>
  <si>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</si>
  <si>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</si>
  <si>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</si>
  <si>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</si>
  <si>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</si>
  <si>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</si>
  <si>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</si>
  <si>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</si>
  <si>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</si>
  <si>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</si>
  <si>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</si>
  <si>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</si>
  <si>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</si>
  <si>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</si>
  <si>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</si>
  <si>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</si>
  <si>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</si>
  <si>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</si>
  <si>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</si>
  <si>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</si>
  <si>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</si>
  <si>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</si>
  <si>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</si>
  <si>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</si>
  <si>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</si>
  <si>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</si>
  <si>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</si>
  <si>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</si>
  <si>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</si>
  <si>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</si>
  <si>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</si>
  <si>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</si>
  <si>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</si>
  <si>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</si>
  <si>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</si>
  <si>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</si>
  <si>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</si>
  <si>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</si>
  <si>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</si>
  <si>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</si>
  <si>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</si>
  <si>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</si>
  <si>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</si>
  <si>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</si>
  <si>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</si>
  <si>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</si>
  <si>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</si>
  <si>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</si>
  <si>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</si>
  <si>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</si>
  <si>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</si>
  <si>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</si>
  <si>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</si>
  <si>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</si>
  <si>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</si>
  <si>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</si>
  <si>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</si>
  <si>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</si>
  <si>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</si>
  <si>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</si>
  <si>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</si>
  <si>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</si>
  <si>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</si>
  <si>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</si>
  <si>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</si>
  <si>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</si>
  <si>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</si>
  <si>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</si>
  <si>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</si>
  <si>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</si>
  <si>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</si>
  <si>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</si>
  <si>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</si>
  <si>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</si>
  <si>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</si>
  <si>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</si>
  <si>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</si>
  <si>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</si>
  <si>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</si>
  <si>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</si>
  <si>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</si>
  <si>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</si>
  <si>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</si>
  <si>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</si>
  <si>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</si>
  <si>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</si>
  <si>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</si>
  <si>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</si>
  <si>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</si>
  <si>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</si>
  <si>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</si>
  <si>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</si>
  <si>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</si>
  <si>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</si>
  <si>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</si>
  <si>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</si>
  <si>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</si>
  <si>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</si>
  <si>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</si>
  <si>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</si>
  <si>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</si>
  <si>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</si>
  <si>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</si>
  <si>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</si>
  <si>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</si>
  <si>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</si>
  <si>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</si>
  <si>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</si>
  <si>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</si>
  <si>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</si>
  <si>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</si>
  <si>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</si>
  <si>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</si>
  <si>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</si>
  <si>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</si>
  <si>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</si>
  <si>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</si>
  <si>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</si>
  <si>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</si>
  <si>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</si>
  <si>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</si>
  <si>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</si>
  <si>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</si>
  <si>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</si>
  <si>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</si>
  <si>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</si>
  <si>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</si>
  <si>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</si>
  <si>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</si>
  <si>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</si>
  <si>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</si>
  <si>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</si>
  <si>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</si>
  <si>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</si>
  <si>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</si>
  <si>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</si>
  <si>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</si>
  <si>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</si>
  <si>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</si>
  <si>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</si>
  <si>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</si>
  <si>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</si>
  <si>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</si>
  <si>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</si>
  <si>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</si>
  <si>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</si>
  <si>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</si>
  <si>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</si>
  <si>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</si>
  <si>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</si>
  <si>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</si>
  <si>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</si>
  <si>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</si>
  <si>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</si>
  <si>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</si>
  <si>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</si>
  <si>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</si>
  <si>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</si>
  <si>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</si>
  <si>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</si>
  <si>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</si>
  <si>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</si>
  <si>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</si>
  <si>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</si>
  <si>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</si>
  <si>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</si>
  <si>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</si>
  <si>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</si>
  <si>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</si>
  <si>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</si>
  <si>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</si>
  <si>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</si>
  <si>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</si>
  <si>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</si>
  <si>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</si>
  <si>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</si>
  <si>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</si>
  <si>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</si>
  <si>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</si>
  <si>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</si>
  <si>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</si>
  <si>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</si>
  <si>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</si>
  <si>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</si>
  <si>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</si>
  <si>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</si>
  <si>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</si>
  <si>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</si>
  <si>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</si>
  <si>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</si>
  <si>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</si>
  <si>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</si>
  <si>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</si>
  <si>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</si>
  <si>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</si>
  <si>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</si>
  <si>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</si>
  <si>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</si>
  <si>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</si>
  <si>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</si>
  <si>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</si>
  <si>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</si>
  <si>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</si>
  <si>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</si>
  <si>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</si>
  <si>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</si>
  <si>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</si>
  <si>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</si>
  <si>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</si>
  <si>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</si>
  <si>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</si>
  <si>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</si>
  <si>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</si>
  <si>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</si>
  <si>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</si>
  <si>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</si>
  <si>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</si>
  <si>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</si>
  <si>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</si>
  <si>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</si>
  <si>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</si>
  <si>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</si>
  <si>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</si>
  <si>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</si>
  <si>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</si>
  <si>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</si>
  <si>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</si>
  <si>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</si>
  <si>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</si>
  <si>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</si>
  <si>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</si>
  <si>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</si>
  <si>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</si>
  <si>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</si>
  <si>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</si>
  <si>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</si>
  <si>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</si>
  <si>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</si>
  <si>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</si>
  <si>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</si>
  <si>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</si>
  <si>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</si>
  <si>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</si>
  <si>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</si>
  <si>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</si>
  <si>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</si>
  <si>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</si>
  <si>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</si>
  <si>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</si>
  <si>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</si>
  <si>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</si>
  <si>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</si>
  <si>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</si>
  <si>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</si>
  <si>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</si>
  <si>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</si>
  <si>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</si>
  <si>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</si>
  <si>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</si>
  <si>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</si>
  <si>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</si>
  <si>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</si>
  <si>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</si>
  <si>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</si>
  <si>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</si>
  <si>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</si>
  <si>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</si>
  <si>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</si>
  <si>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</si>
  <si>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</si>
  <si>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</si>
  <si>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</si>
  <si>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</si>
  <si>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</si>
  <si>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</si>
  <si>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</si>
  <si>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</si>
  <si>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</si>
  <si>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</si>
  <si>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</si>
  <si>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</si>
  <si>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</si>
  <si>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</si>
  <si>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</si>
  <si>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</si>
  <si>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</si>
  <si>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</si>
  <si>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</si>
  <si>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</si>
  <si>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</si>
  <si>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</si>
  <si>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</si>
  <si>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</si>
  <si>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</si>
  <si>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</si>
  <si>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</si>
  <si>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</si>
  <si>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</si>
  <si>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</si>
  <si>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</si>
  <si>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</si>
  <si>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</si>
  <si>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</si>
  <si>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</si>
  <si>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</si>
  <si>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</si>
  <si>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</si>
  <si>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</si>
  <si>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</si>
  <si>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</si>
  <si>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</si>
  <si>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</si>
  <si>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</si>
  <si>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</si>
  <si>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</si>
  <si>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</si>
  <si>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</si>
  <si>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</si>
  <si>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</si>
  <si>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</si>
  <si>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</si>
  <si>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</si>
  <si>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</si>
  <si>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</si>
  <si>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</si>
  <si>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</si>
  <si>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</si>
  <si>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</si>
  <si>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</si>
  <si>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</si>
  <si>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</si>
  <si>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</si>
  <si>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</si>
  <si>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</si>
  <si>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</si>
  <si>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</si>
  <si>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</si>
  <si>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</si>
  <si>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</si>
  <si>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</si>
  <si>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</si>
  <si>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</si>
  <si>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</si>
  <si>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</si>
  <si>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</si>
  <si>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</si>
  <si>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</si>
  <si>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</si>
  <si>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</si>
  <si>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</si>
  <si>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</si>
  <si>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</si>
  <si>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</si>
  <si>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</si>
  <si>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</si>
  <si>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</si>
  <si>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</si>
  <si>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</si>
  <si>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</si>
  <si>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</si>
  <si>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</si>
  <si>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</si>
  <si>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</si>
  <si>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</si>
  <si>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</si>
  <si>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</si>
  <si>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</si>
  <si>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</si>
  <si>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</si>
  <si>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</si>
  <si>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</si>
  <si>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</si>
  <si>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</si>
  <si>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</si>
  <si>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</si>
  <si>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</si>
  <si>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</si>
  <si>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</si>
  <si>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</si>
  <si>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</si>
  <si>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</si>
  <si>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</si>
  <si>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</si>
  <si>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</si>
  <si>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</si>
  <si>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</si>
  <si>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</si>
  <si>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</si>
  <si>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</si>
  <si>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</si>
  <si>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</si>
  <si>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</si>
  <si>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</si>
  <si>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</si>
  <si>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</si>
  <si>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</si>
  <si>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</si>
  <si>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</si>
  <si>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</si>
  <si>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</si>
  <si>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</si>
  <si>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</si>
  <si>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</si>
  <si>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</si>
  <si>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</si>
  <si>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</si>
  <si>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</si>
  <si>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</si>
  <si>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</si>
  <si>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</si>
  <si>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</si>
  <si>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</si>
  <si>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</si>
  <si>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</si>
  <si>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</si>
  <si>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</si>
  <si>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</si>
  <si>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</si>
  <si>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</si>
  <si>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</si>
  <si>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</si>
  <si>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</si>
  <si>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</si>
  <si>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</si>
  <si>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</si>
  <si>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</si>
  <si>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</si>
  <si>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</si>
  <si>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</si>
  <si>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</si>
  <si>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</si>
  <si>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</si>
  <si>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</si>
  <si>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</si>
  <si>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</si>
  <si>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</si>
  <si>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</si>
  <si>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</si>
  <si>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</si>
  <si>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</si>
  <si>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</si>
  <si>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</si>
  <si>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</si>
  <si>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</si>
  <si>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</si>
  <si>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</si>
  <si>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</si>
  <si>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</si>
  <si>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</si>
  <si>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</si>
  <si>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</si>
  <si>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</si>
  <si>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</si>
  <si>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</si>
  <si>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</si>
  <si>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</si>
  <si>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</si>
  <si>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</si>
  <si>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</si>
  <si>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</si>
  <si>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</si>
  <si>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</si>
  <si>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</si>
  <si>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</si>
  <si>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</si>
  <si>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</si>
  <si>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</si>
  <si>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</si>
  <si>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</si>
  <si>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</si>
  <si>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</si>
  <si>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</si>
  <si>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</si>
  <si>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</si>
  <si>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</si>
  <si>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</si>
  <si>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</si>
  <si>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</si>
  <si>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</si>
  <si>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</si>
  <si>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</si>
  <si>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</si>
  <si>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</si>
  <si>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</si>
  <si>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</si>
  <si>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</si>
  <si>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</si>
  <si>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</si>
  <si>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</si>
  <si>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</si>
  <si>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</si>
  <si>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</si>
  <si>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</si>
  <si>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</si>
  <si>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</si>
  <si>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</si>
  <si>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</si>
  <si>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</si>
  <si>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</si>
  <si>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</si>
  <si>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</si>
  <si>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</si>
  <si>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</si>
  <si>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</si>
  <si>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</si>
  <si>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</si>
  <si>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</si>
  <si>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</si>
  <si>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</si>
  <si>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</si>
  <si>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</si>
  <si>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</si>
  <si>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</si>
  <si>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</si>
  <si>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</si>
  <si>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</si>
  <si>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</si>
  <si>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</si>
  <si>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</si>
  <si>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</si>
  <si>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</si>
  <si>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</si>
  <si>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</si>
  <si>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</si>
  <si>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</si>
  <si>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</si>
  <si>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</si>
  <si>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</si>
  <si>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</si>
  <si>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</si>
  <si>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</si>
  <si>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</si>
  <si>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</si>
  <si>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</si>
  <si>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</si>
  <si>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</si>
  <si>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</si>
  <si>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</si>
  <si>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</si>
  <si>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</si>
  <si>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</si>
  <si>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</si>
  <si>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</si>
  <si>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</si>
  <si>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</si>
  <si>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</si>
  <si>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</si>
  <si>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</si>
  <si>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</si>
  <si>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</si>
  <si>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</si>
  <si>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</si>
  <si>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</si>
  <si>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</si>
  <si>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</si>
  <si>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</si>
  <si>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</si>
  <si>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</si>
  <si>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</si>
  <si>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</si>
  <si>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</si>
  <si>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</si>
  <si>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</si>
  <si>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</si>
  <si>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</si>
  <si>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</si>
  <si>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</si>
  <si>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</si>
  <si>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</si>
  <si>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</si>
  <si>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</si>
  <si>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</si>
  <si>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</si>
  <si>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</si>
  <si>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</si>
  <si>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</si>
  <si>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</si>
  <si>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</si>
  <si>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</si>
  <si>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</si>
  <si>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</si>
  <si>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</si>
  <si>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</si>
  <si>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</si>
  <si>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</si>
  <si>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</si>
  <si>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</si>
  <si>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</si>
  <si>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</si>
  <si>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</si>
  <si>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</si>
  <si>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</si>
  <si>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</si>
  <si>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</si>
  <si>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</si>
  <si>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</si>
  <si>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</si>
  <si>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</si>
  <si>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</si>
  <si>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</si>
  <si>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</si>
  <si>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</si>
  <si>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</si>
  <si>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</si>
  <si>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</si>
  <si>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</si>
  <si>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</si>
  <si>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</si>
  <si>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</si>
  <si>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</si>
  <si>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</si>
  <si>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</si>
  <si>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</si>
  <si>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</si>
  <si>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</si>
  <si>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</si>
  <si>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</si>
  <si>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</si>
  <si>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</si>
  <si>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</si>
  <si>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</si>
  <si>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</si>
  <si>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</si>
  <si>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</si>
  <si>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</si>
  <si>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</si>
  <si>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</si>
  <si>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</si>
  <si>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</si>
  <si>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</si>
  <si>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</si>
  <si>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</si>
  <si>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</si>
  <si>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</si>
  <si>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</si>
  <si>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</si>
  <si>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</si>
  <si>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</si>
  <si>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</si>
  <si>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</si>
  <si>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</si>
  <si>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</si>
  <si>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</si>
  <si>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</si>
  <si>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</si>
  <si>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</si>
  <si>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</si>
  <si>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</si>
  <si>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</si>
  <si>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</si>
  <si>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</si>
  <si>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</si>
  <si>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</si>
  <si>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</si>
  <si>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</si>
  <si>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</si>
  <si>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</si>
  <si>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</si>
  <si>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</si>
  <si>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</si>
  <si>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</si>
  <si>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</si>
  <si>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</si>
  <si>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</si>
  <si>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</si>
  <si>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</si>
  <si>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</si>
  <si>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</si>
  <si>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</si>
  <si>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</si>
  <si>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</si>
  <si>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</si>
  <si>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</si>
  <si>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</si>
  <si>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</si>
  <si>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</si>
  <si>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</si>
  <si>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</si>
  <si>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</si>
  <si>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</si>
  <si>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</si>
  <si>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</si>
  <si>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</si>
  <si>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</si>
  <si>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</si>
  <si>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</si>
  <si>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</si>
  <si>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</si>
  <si>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</si>
  <si>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</si>
  <si>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</si>
  <si>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</si>
  <si>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</si>
  <si>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</si>
  <si>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</si>
  <si>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</si>
  <si>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</si>
  <si>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</si>
  <si>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</si>
  <si>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</si>
  <si>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</si>
  <si>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</si>
  <si>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</si>
  <si>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</si>
  <si>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</si>
  <si>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</si>
  <si>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</si>
  <si>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</si>
  <si>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</si>
  <si>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</si>
  <si>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</si>
  <si>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</si>
  <si>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</si>
  <si>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</si>
  <si>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</si>
  <si>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</si>
  <si>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</si>
  <si>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</si>
  <si>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</si>
  <si>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</si>
  <si>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</si>
  <si>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</si>
  <si>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</si>
  <si>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</si>
  <si>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</si>
  <si>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</si>
  <si>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</si>
  <si>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</si>
  <si>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</si>
  <si>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</si>
  <si>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</si>
  <si>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</si>
  <si>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</si>
  <si>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</si>
  <si>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</si>
  <si>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</si>
  <si>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</si>
  <si>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</si>
  <si>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</si>
  <si>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</si>
  <si>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</si>
  <si>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</si>
  <si>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</si>
  <si>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</si>
  <si>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</si>
  <si>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</si>
  <si>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</si>
  <si>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</si>
  <si>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</si>
  <si>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</si>
  <si>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</si>
  <si>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</si>
  <si>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</si>
  <si>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</si>
  <si>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</si>
  <si>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</si>
  <si>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</si>
  <si>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</si>
  <si>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</si>
  <si>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</si>
  <si>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</si>
  <si>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</si>
  <si>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</si>
  <si>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</si>
  <si>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</si>
  <si>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</si>
  <si>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</si>
  <si>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</si>
  <si>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</si>
  <si>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</si>
  <si>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</si>
  <si>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</si>
  <si>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</si>
  <si>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</si>
  <si>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</si>
  <si>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</si>
  <si>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</si>
  <si>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</si>
  <si>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</si>
  <si>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</si>
  <si>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</si>
  <si>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</si>
  <si>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</si>
  <si>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</si>
  <si>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</si>
  <si>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</si>
  <si>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</si>
  <si>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</si>
  <si>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</si>
  <si>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</si>
  <si>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</si>
  <si>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</si>
  <si>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</si>
  <si>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</si>
  <si>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</si>
  <si>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</si>
  <si>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</si>
  <si>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</si>
  <si>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</si>
  <si>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</si>
  <si>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</si>
  <si>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</si>
  <si>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</si>
  <si>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</si>
  <si>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</si>
  <si>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</si>
  <si>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</si>
  <si>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</si>
  <si>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</si>
  <si>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</si>
  <si>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</si>
  <si>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</si>
  <si>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</si>
  <si>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</si>
  <si>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</si>
  <si>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</si>
  <si>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</si>
  <si>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</si>
  <si>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</si>
  <si>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</si>
  <si>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</si>
  <si>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</si>
  <si>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</si>
  <si>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</si>
  <si>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</si>
  <si>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</si>
  <si>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</si>
  <si>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</si>
  <si>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</si>
  <si>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</si>
  <si>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</si>
  <si>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</si>
  <si>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</si>
  <si>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</si>
  <si>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</si>
  <si>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</si>
  <si>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</si>
  <si>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</si>
  <si>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</si>
  <si>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</si>
  <si>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</si>
  <si>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</si>
  <si>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</si>
  <si>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</si>
  <si>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</si>
  <si>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</si>
  <si>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</si>
  <si>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</si>
  <si>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</si>
  <si>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</si>
  <si>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</si>
  <si>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</si>
  <si>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</si>
  <si>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</si>
  <si>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</si>
  <si>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</si>
  <si>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</si>
  <si>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</si>
  <si>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</si>
  <si>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</si>
  <si>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</si>
  <si>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</si>
  <si>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</si>
  <si>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</si>
  <si>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</si>
  <si>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</si>
  <si>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</si>
  <si>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</si>
  <si>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</si>
  <si>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</si>
  <si>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</si>
  <si>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</si>
  <si>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</si>
  <si>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</si>
  <si>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</si>
  <si>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</si>
  <si>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</si>
  <si>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</si>
  <si>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</si>
  <si>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</si>
  <si>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</si>
  <si>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</si>
  <si>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</si>
  <si>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</si>
  <si>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</si>
  <si>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</si>
  <si>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</si>
  <si>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</si>
  <si>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</si>
  <si>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</si>
  <si>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</si>
  <si>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</si>
  <si>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</si>
  <si>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</si>
  <si>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</si>
  <si>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</si>
  <si>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</si>
  <si>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</si>
  <si>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</si>
  <si>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</si>
  <si>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</si>
  <si>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</si>
  <si>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</si>
  <si>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</si>
  <si>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</si>
  <si>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</si>
  <si>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</si>
  <si>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</si>
  <si>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</si>
  <si>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</si>
  <si>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</si>
  <si>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</si>
  <si>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</si>
  <si>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</si>
  <si>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</si>
  <si>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</si>
  <si>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</si>
  <si>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</si>
  <si>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</si>
  <si>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</si>
  <si>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</si>
  <si>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</si>
  <si>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</si>
  <si>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</si>
  <si>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</si>
  <si>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</si>
  <si>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</si>
  <si>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</si>
  <si>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</si>
  <si>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</si>
  <si>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</si>
  <si>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</si>
  <si>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</si>
  <si>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</si>
  <si>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</si>
  <si>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</si>
  <si>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</si>
  <si>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</si>
  <si>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</si>
  <si>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</si>
  <si>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</si>
  <si>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</si>
  <si>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</si>
  <si>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</si>
  <si>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</si>
  <si>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</si>
  <si>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</si>
  <si>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</si>
  <si>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</si>
  <si>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</si>
  <si>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</si>
  <si>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</si>
  <si>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</si>
  <si>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</si>
  <si>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</si>
  <si>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</si>
  <si>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</si>
  <si>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</si>
  <si>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</si>
  <si>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</si>
  <si>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</si>
  <si>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</si>
  <si>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</si>
  <si>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</si>
  <si>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</si>
  <si>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</si>
  <si>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</si>
  <si>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</si>
  <si>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</si>
  <si>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</si>
  <si>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</si>
  <si>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</si>
  <si>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</si>
  <si>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</si>
  <si>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</si>
  <si>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</si>
  <si>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</si>
  <si>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</si>
  <si>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</si>
  <si>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</si>
  <si>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</si>
  <si>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</si>
  <si>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</si>
  <si>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</si>
  <si>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</si>
  <si>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</si>
  <si>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</si>
  <si>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</si>
  <si>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</si>
  <si>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</si>
  <si>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</si>
  <si>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</si>
  <si>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</si>
  <si>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</si>
  <si>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</si>
  <si>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</si>
  <si>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</si>
  <si>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</si>
  <si>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</si>
  <si>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</si>
  <si>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</si>
  <si>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</si>
  <si>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</si>
  <si>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</si>
  <si>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</si>
  <si>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</si>
  <si>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</si>
  <si>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</si>
  <si>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</si>
  <si>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</si>
  <si>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</si>
  <si>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</si>
  <si>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</si>
  <si>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</si>
  <si>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</si>
  <si>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</si>
  <si>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</si>
  <si>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</si>
  <si>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</si>
  <si>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</si>
  <si>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</si>
  <si>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</si>
  <si>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</si>
  <si>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</si>
  <si>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</si>
  <si>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</si>
  <si>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</si>
  <si>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</si>
  <si>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</si>
  <si>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</si>
  <si>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</si>
  <si>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</si>
  <si>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</si>
  <si>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</si>
  <si>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</si>
  <si>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</si>
  <si>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</si>
  <si>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</si>
  <si>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</si>
  <si>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</si>
  <si>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</si>
  <si>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</si>
  <si>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</si>
  <si>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</si>
  <si>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</si>
  <si>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</si>
  <si>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</si>
  <si>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</si>
  <si>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</si>
  <si>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</si>
  <si>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</si>
  <si>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</si>
  <si>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</si>
  <si>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</si>
  <si>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</si>
  <si>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</si>
  <si>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</si>
  <si>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</si>
  <si>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</si>
  <si>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</si>
  <si>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</si>
  <si>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</si>
  <si>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</si>
  <si>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</si>
  <si>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</si>
  <si>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</si>
  <si>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</si>
  <si>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</si>
  <si>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</si>
  <si>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</si>
  <si>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</si>
  <si>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</si>
  <si>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</si>
  <si>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</si>
  <si>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</si>
  <si>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</si>
  <si>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</si>
  <si>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</si>
  <si>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</si>
  <si>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</si>
  <si>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</si>
  <si>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</si>
  <si>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</si>
  <si>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</si>
  <si>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</si>
  <si>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</si>
  <si>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</si>
  <si>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</si>
  <si>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</si>
  <si>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</si>
  <si>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</si>
  <si>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</si>
  <si>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</si>
  <si>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</si>
  <si>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</si>
  <si>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</si>
  <si>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</si>
  <si>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</si>
  <si>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</si>
  <si>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</si>
  <si>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</si>
  <si>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</si>
  <si>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</si>
  <si>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</si>
  <si>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</si>
  <si>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</si>
  <si>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</si>
  <si>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</si>
  <si>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</si>
  <si>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</si>
  <si>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</si>
  <si>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</si>
  <si>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</si>
  <si>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</si>
  <si>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</si>
  <si>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</si>
  <si>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</si>
  <si>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</si>
  <si>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</si>
  <si>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</si>
  <si>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</si>
  <si>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</si>
  <si>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</si>
  <si>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</si>
  <si>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</si>
  <si>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</si>
  <si>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</si>
  <si>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</si>
  <si>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</si>
  <si>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</si>
  <si>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</si>
  <si>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</si>
  <si>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</si>
  <si>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</si>
  <si>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</si>
  <si>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</si>
  <si>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</si>
  <si>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</si>
  <si>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</si>
  <si>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</si>
  <si>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</si>
  <si>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</si>
  <si>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</si>
  <si>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</si>
  <si>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</si>
  <si>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</si>
  <si>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</si>
  <si>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</si>
  <si>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</si>
  <si>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</si>
  <si>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</si>
  <si>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</si>
  <si>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</si>
  <si>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</si>
  <si>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</si>
  <si>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</si>
  <si>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</si>
  <si>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</si>
  <si>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</si>
  <si>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</si>
  <si>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</si>
  <si>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</si>
  <si>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</si>
  <si>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</si>
  <si>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</si>
  <si>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</si>
  <si>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</si>
  <si>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</si>
  <si>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</si>
  <si>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</si>
  <si>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</si>
  <si>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</si>
  <si>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</si>
  <si>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</si>
  <si>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</si>
  <si>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</si>
  <si>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</si>
  <si>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</si>
  <si>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</si>
  <si>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</si>
  <si>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</si>
  <si>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</si>
  <si>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</si>
  <si>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</si>
  <si>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</si>
  <si>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</si>
  <si>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</si>
  <si>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</si>
  <si>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</si>
  <si>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</si>
  <si>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</si>
  <si>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</si>
  <si>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</si>
  <si>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</si>
  <si>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</si>
  <si>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</si>
  <si>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</si>
  <si>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</si>
  <si>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</si>
  <si>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</si>
  <si>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</si>
  <si>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</si>
  <si>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</si>
  <si>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</si>
  <si>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</si>
  <si>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</si>
  <si>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</si>
  <si>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</si>
  <si>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</si>
  <si>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</si>
  <si>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</si>
  <si>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</si>
  <si>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</si>
  <si>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</si>
  <si>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</si>
  <si>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</si>
  <si>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</si>
  <si>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</si>
  <si>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</si>
  <si>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</si>
  <si>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</si>
  <si>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</si>
  <si>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</si>
  <si>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</si>
  <si>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</si>
  <si>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</si>
  <si>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</si>
  <si>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</si>
  <si>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</si>
  <si>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</si>
  <si>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</si>
  <si>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</si>
  <si>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</si>
  <si>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</si>
  <si>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</si>
  <si>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</si>
  <si>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</si>
  <si>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</si>
  <si>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</si>
  <si>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</si>
  <si>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</si>
  <si>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</si>
  <si>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</si>
  <si>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</si>
  <si>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</si>
  <si>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</si>
  <si>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</si>
  <si>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</si>
  <si>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</si>
  <si>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</si>
  <si>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</si>
  <si>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</si>
  <si>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</si>
  <si>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</si>
  <si>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</si>
  <si>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</si>
  <si>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</si>
  <si>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</si>
  <si>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</si>
  <si>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</si>
  <si>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</si>
  <si>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</si>
  <si>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</si>
  <si>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</si>
  <si>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</si>
  <si>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</si>
  <si>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</si>
  <si>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</si>
  <si>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</si>
  <si>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</si>
  <si>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</si>
  <si>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</si>
  <si>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</si>
  <si>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</si>
  <si>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</si>
  <si>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</si>
  <si>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</si>
  <si>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</si>
  <si>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</si>
  <si>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</si>
  <si>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</si>
  <si>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</si>
  <si>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</si>
  <si>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</si>
  <si>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</si>
  <si>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</si>
  <si>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</si>
  <si>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</si>
  <si>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</si>
  <si>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</si>
  <si>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</si>
  <si>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</si>
  <si>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</si>
  <si>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</si>
  <si>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</si>
  <si>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</si>
  <si>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</si>
  <si>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</si>
  <si>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</si>
  <si>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</si>
  <si>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</si>
  <si>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</si>
  <si>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</si>
  <si>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</si>
  <si>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</si>
  <si>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</si>
  <si>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</si>
  <si>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</si>
  <si>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</si>
  <si>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</si>
  <si>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</si>
  <si>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</si>
  <si>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</si>
  <si>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</si>
  <si>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</si>
  <si>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</si>
  <si>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</si>
  <si>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</si>
  <si>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</si>
  <si>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</si>
  <si>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</si>
  <si>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</si>
  <si>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</si>
  <si>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</si>
  <si>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</si>
  <si>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</si>
  <si>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</si>
  <si>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</si>
  <si>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</si>
  <si>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</si>
  <si>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</si>
  <si>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</si>
  <si>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</si>
  <si>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</si>
  <si>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</si>
  <si>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</si>
  <si>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</si>
  <si>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</si>
  <si>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</si>
  <si>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</si>
  <si>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</si>
  <si>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</si>
  <si>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</si>
  <si>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</si>
  <si>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</si>
  <si>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</si>
  <si>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</si>
  <si>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</si>
  <si>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</si>
  <si>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</si>
  <si>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</si>
  <si>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</si>
  <si>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</si>
  <si>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</si>
  <si>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</si>
  <si>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</si>
  <si>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</si>
  <si>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</si>
  <si>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</si>
  <si>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</si>
  <si>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</si>
  <si>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</si>
  <si>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</si>
  <si>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</si>
  <si>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</si>
  <si>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</si>
  <si>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</si>
  <si>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</si>
  <si>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</si>
  <si>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</si>
  <si>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</si>
  <si>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</si>
  <si>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</si>
  <si>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</si>
  <si>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</si>
  <si>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</si>
  <si>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</si>
  <si>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</si>
  <si>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</si>
  <si>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</si>
  <si>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</si>
  <si>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</si>
  <si>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</si>
  <si>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</si>
  <si>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</si>
  <si>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</si>
  <si>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</si>
  <si>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</si>
  <si>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</si>
  <si>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</si>
  <si>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</si>
  <si>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</si>
  <si>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</si>
  <si>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</si>
  <si>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</si>
  <si>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</si>
  <si>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</si>
  <si>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</si>
  <si>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</si>
  <si>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</si>
  <si>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</si>
  <si>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</si>
  <si>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</si>
  <si>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</si>
  <si>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</si>
  <si>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</si>
  <si>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</si>
  <si>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</si>
  <si>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</si>
  <si>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</si>
  <si>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</si>
  <si>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</si>
  <si>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</si>
  <si>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</si>
  <si>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</si>
  <si>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</si>
  <si>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</si>
  <si>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</si>
  <si>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</si>
  <si>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</si>
  <si>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</si>
  <si>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</si>
  <si>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</si>
  <si>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</si>
  <si>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</si>
  <si>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</si>
  <si>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</si>
  <si>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</si>
  <si>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</si>
  <si>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</si>
  <si>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</si>
  <si>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</si>
  <si>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</si>
  <si>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</si>
  <si>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</si>
  <si>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</si>
  <si>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</si>
  <si>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</si>
  <si>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</si>
  <si>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</si>
  <si>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</si>
  <si>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</si>
  <si>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</si>
  <si>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</si>
  <si>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</si>
  <si>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</si>
  <si>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</si>
  <si>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</si>
  <si>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</si>
  <si>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</si>
  <si>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</si>
  <si>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</si>
  <si>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</si>
  <si>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</si>
  <si>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</si>
  <si>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</si>
  <si>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</si>
  <si>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</si>
  <si>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</si>
  <si>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</si>
  <si>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</si>
  <si>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</si>
  <si>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</si>
  <si>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</si>
  <si>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</si>
  <si>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</si>
  <si>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</si>
  <si>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</si>
  <si>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</si>
  <si>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</si>
  <si>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</si>
  <si>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</si>
  <si>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</si>
  <si>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</si>
  <si>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</si>
  <si>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</si>
  <si>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</si>
  <si>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</si>
  <si>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</si>
  <si>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</si>
  <si>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</si>
  <si>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</si>
  <si>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</si>
  <si>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</si>
  <si>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</si>
  <si>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</si>
  <si>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</si>
  <si>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</si>
  <si>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</si>
  <si>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</si>
  <si>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</si>
  <si>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</si>
  <si>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</si>
  <si>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</si>
  <si>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</si>
  <si>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</si>
  <si>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</si>
  <si>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</si>
  <si>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</si>
  <si>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</si>
  <si>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</si>
  <si>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</si>
  <si>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</si>
  <si>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</si>
  <si>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</si>
  <si>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</si>
  <si>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</si>
  <si>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</si>
  <si>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</si>
  <si>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</si>
  <si>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</si>
  <si>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</si>
  <si>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</si>
  <si>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</si>
  <si>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</si>
  <si>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</si>
  <si>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</si>
  <si>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</si>
  <si>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</si>
  <si>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</si>
  <si>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</si>
  <si>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</si>
  <si>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</si>
  <si>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</si>
  <si>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</si>
  <si>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</si>
  <si>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</si>
  <si>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</si>
  <si>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</si>
  <si>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</si>
  <si>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</si>
  <si>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</si>
  <si>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</si>
  <si>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</si>
  <si>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</si>
  <si>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</si>
  <si>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</si>
  <si>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</si>
  <si>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</si>
  <si>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</si>
  <si>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</si>
  <si>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</si>
  <si>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</si>
  <si>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</si>
  <si>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</si>
  <si>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</si>
  <si>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</si>
  <si>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</si>
  <si>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</si>
  <si>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</si>
  <si>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</si>
  <si>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</si>
  <si>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</si>
  <si>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</si>
  <si>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</si>
  <si>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</si>
  <si>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</si>
  <si>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</si>
  <si>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</si>
  <si>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</si>
  <si>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</si>
  <si>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</si>
  <si>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</si>
  <si>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</si>
  <si>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</si>
  <si>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</si>
  <si>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</si>
  <si>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</si>
  <si>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</si>
  <si>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</si>
  <si>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</si>
  <si>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</si>
  <si>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</si>
  <si>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</si>
  <si>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</si>
  <si>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</si>
  <si>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</si>
  <si>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</si>
  <si>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</si>
  <si>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</si>
  <si>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</si>
  <si>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</si>
  <si>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</si>
  <si>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</si>
  <si>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</si>
  <si>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</si>
  <si>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</si>
  <si>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</si>
  <si>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</si>
  <si>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</si>
  <si>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</si>
  <si>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</si>
  <si>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</si>
  <si>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</si>
  <si>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</si>
  <si>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</si>
  <si>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</si>
  <si>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</si>
  <si>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</si>
  <si>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</si>
  <si>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</si>
  <si>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</si>
  <si>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</si>
  <si>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</si>
  <si>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</si>
  <si>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</si>
  <si>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</si>
  <si>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</si>
  <si>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</si>
  <si>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</si>
  <si>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</si>
  <si>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</si>
  <si>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</si>
  <si>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</si>
  <si>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</si>
  <si>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</si>
  <si>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</si>
  <si>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</si>
  <si>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</si>
  <si>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</si>
  <si>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</si>
  <si>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</si>
  <si>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</si>
  <si>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</si>
  <si>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</si>
  <si>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</si>
  <si>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</si>
  <si>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</si>
  <si>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</si>
  <si>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</si>
  <si>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</si>
  <si>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</si>
  <si>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</si>
  <si>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</si>
  <si>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</si>
  <si>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</si>
  <si>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</si>
  <si>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</si>
  <si>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</si>
  <si>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</si>
  <si>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</si>
  <si>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</si>
  <si>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</si>
  <si>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</si>
  <si>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</si>
  <si>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</si>
  <si>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</si>
  <si>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</si>
  <si>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</si>
  <si>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</si>
  <si>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</si>
  <si>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</si>
  <si>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</si>
  <si>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</si>
  <si>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</si>
  <si>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</si>
  <si>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</si>
  <si>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</si>
  <si>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</si>
  <si>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</si>
  <si>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</si>
  <si>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</si>
  <si>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</si>
  <si>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</si>
  <si>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</si>
  <si>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</si>
  <si>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</si>
  <si>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</si>
  <si>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</si>
  <si>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</si>
  <si>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</si>
  <si>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</si>
  <si>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</si>
  <si>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</si>
  <si>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</si>
  <si>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</si>
  <si>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</si>
  <si>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</si>
  <si>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</si>
  <si>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</si>
  <si>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</si>
  <si>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</si>
  <si>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</si>
  <si>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</si>
  <si>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</si>
  <si>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</si>
  <si>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</si>
  <si>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</si>
  <si>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</si>
  <si>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</si>
  <si>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</si>
  <si>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</si>
  <si>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</si>
  <si>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</si>
  <si>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</si>
  <si>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</si>
  <si>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</si>
  <si>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</si>
  <si>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</si>
  <si>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</si>
  <si>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</si>
  <si>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</si>
  <si>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</si>
  <si>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</si>
  <si>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</si>
  <si>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</si>
  <si>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</si>
  <si>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</si>
  <si>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</si>
  <si>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</si>
  <si>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</si>
  <si>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</si>
  <si>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</si>
  <si>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</si>
  <si>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</si>
  <si>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</si>
  <si>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</si>
  <si>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</si>
  <si>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</si>
  <si>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</si>
  <si>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</si>
  <si>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</si>
  <si>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</si>
  <si>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</si>
  <si>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</si>
  <si>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</si>
  <si>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</si>
  <si>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</si>
  <si>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</si>
  <si>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</si>
  <si>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</si>
  <si>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</si>
  <si>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</si>
  <si>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</si>
  <si>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</si>
  <si>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</si>
  <si>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</si>
  <si>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</si>
  <si>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</si>
  <si>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</si>
  <si>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</si>
  <si>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</si>
  <si>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</si>
  <si>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</si>
  <si>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</si>
  <si>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</si>
  <si>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</si>
  <si>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</si>
  <si>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</si>
  <si>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</si>
  <si>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</si>
  <si>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</si>
  <si>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</si>
  <si>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</si>
  <si>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</si>
  <si>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</si>
  <si>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</si>
  <si>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</si>
  <si>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</si>
  <si>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</si>
  <si>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</si>
  <si>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</si>
  <si>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</si>
  <si>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</si>
  <si>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</si>
  <si>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</si>
  <si>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</si>
  <si>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</si>
  <si>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</si>
  <si>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</si>
  <si>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</si>
  <si>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</si>
  <si>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</si>
  <si>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</si>
  <si>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</si>
  <si>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</si>
  <si>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</si>
  <si>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</si>
  <si>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</si>
  <si>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</si>
  <si>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</si>
  <si>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</si>
  <si>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</si>
  <si>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</si>
  <si>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</si>
  <si>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</si>
  <si>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</si>
  <si>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</si>
  <si>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</si>
  <si>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</si>
  <si>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</si>
  <si>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</si>
  <si>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</si>
  <si>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</si>
  <si>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</si>
  <si>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</si>
  <si>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</si>
  <si>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</si>
  <si>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</si>
  <si>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</si>
  <si>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</si>
  <si>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</si>
  <si>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</si>
  <si>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</si>
  <si>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</si>
  <si>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</si>
  <si>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</si>
  <si>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</si>
  <si>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</si>
  <si>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</si>
  <si>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</si>
  <si>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</si>
  <si>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</si>
  <si>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</si>
  <si>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</si>
  <si>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</si>
  <si>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</si>
  <si>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</si>
  <si>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</si>
  <si>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</si>
  <si>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</si>
  <si>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</si>
  <si>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</si>
  <si>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</si>
  <si>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</si>
  <si>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</si>
  <si>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</si>
  <si>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</si>
  <si>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</si>
  <si>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</si>
  <si>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</si>
  <si>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</si>
  <si>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</si>
  <si>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</si>
  <si>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</si>
  <si>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</si>
  <si>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</si>
  <si>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</si>
  <si>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</si>
  <si>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</si>
  <si>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</si>
  <si>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</si>
  <si>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</si>
  <si>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</si>
  <si>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</si>
  <si>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</si>
  <si>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</si>
  <si>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</si>
  <si>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</si>
  <si>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</si>
  <si>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</si>
  <si>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</si>
  <si>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</si>
  <si>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</si>
  <si>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</si>
  <si>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</si>
  <si>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</si>
  <si>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</si>
  <si>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</si>
  <si>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</si>
  <si>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</si>
  <si>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</si>
  <si>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</si>
  <si>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</si>
  <si>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</si>
  <si>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</si>
  <si>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</si>
  <si>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</si>
  <si>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</si>
  <si>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</si>
  <si>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</si>
  <si>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</si>
  <si>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</si>
  <si>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</si>
  <si>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</si>
  <si>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</si>
  <si>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</si>
  <si>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</si>
  <si>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</si>
  <si>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</si>
  <si>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</si>
  <si>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</si>
  <si>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</si>
  <si>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</si>
  <si>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</si>
  <si>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</si>
  <si>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</si>
  <si>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</si>
  <si>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</si>
  <si>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</si>
  <si>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</si>
  <si>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</si>
  <si>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</si>
  <si>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</si>
  <si>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</si>
  <si>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</si>
  <si>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</si>
  <si>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</si>
  <si>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</si>
  <si>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</si>
  <si>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</si>
  <si>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</si>
  <si>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</si>
  <si>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</si>
  <si>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</si>
  <si>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</si>
  <si>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</si>
  <si>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</si>
  <si>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</si>
  <si>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</si>
  <si>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</si>
  <si>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</si>
  <si>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</si>
  <si>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</si>
  <si>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</si>
  <si>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</si>
  <si>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</si>
  <si>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</si>
  <si>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</si>
  <si>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</si>
  <si>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</si>
  <si>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</si>
  <si>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</si>
  <si>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</si>
  <si>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</si>
  <si>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</si>
  <si>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</si>
  <si>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</si>
  <si>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</si>
  <si>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</si>
  <si>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</si>
  <si>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</si>
  <si>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</si>
  <si>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</si>
  <si>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</si>
  <si>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</si>
  <si>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</si>
  <si>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</si>
  <si>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</si>
  <si>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</si>
  <si>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</si>
  <si>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</si>
  <si>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</si>
  <si>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</si>
  <si>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</si>
  <si>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</si>
  <si>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</si>
  <si>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</si>
  <si>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</si>
  <si>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</si>
  <si>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</si>
  <si>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</si>
  <si>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</si>
  <si>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</si>
  <si>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</si>
  <si>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</si>
  <si>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</si>
  <si>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</si>
  <si>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</si>
  <si>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</si>
  <si>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</si>
  <si>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</si>
  <si>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</si>
  <si>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</si>
  <si>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</si>
  <si>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</si>
  <si>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</si>
  <si>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</si>
  <si>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</si>
  <si>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</si>
  <si>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</si>
  <si>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</si>
  <si>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</si>
  <si>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</si>
  <si>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</si>
  <si>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</si>
  <si>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</si>
  <si>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</si>
  <si>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</si>
  <si>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</si>
  <si>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</si>
  <si>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</si>
  <si>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</si>
  <si>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</si>
  <si>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</si>
  <si>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</si>
  <si>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</si>
  <si>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</si>
  <si>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</si>
  <si>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</si>
  <si>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</si>
  <si>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</si>
  <si>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</si>
  <si>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</si>
  <si>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</si>
  <si>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</si>
  <si>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</si>
  <si>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</si>
  <si>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</si>
  <si>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</si>
  <si>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</si>
  <si>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</si>
  <si>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</si>
  <si>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</si>
  <si>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</si>
  <si>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</si>
  <si>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</si>
  <si>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</si>
  <si>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</si>
  <si>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</si>
  <si>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</si>
  <si>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</si>
  <si>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</si>
  <si>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</si>
  <si>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</si>
  <si>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</si>
  <si>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</si>
  <si>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</si>
  <si>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</si>
  <si>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</si>
  <si>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</si>
  <si>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</si>
  <si>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</si>
  <si>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</si>
  <si>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</si>
  <si>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</si>
  <si>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</si>
  <si>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</si>
  <si>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</si>
  <si>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</si>
  <si>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</si>
  <si>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</si>
  <si>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</si>
  <si>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</si>
  <si>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</si>
  <si>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</si>
  <si>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</si>
  <si>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</si>
  <si>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</si>
  <si>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</si>
  <si>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</si>
  <si>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</si>
  <si>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</si>
  <si>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</si>
  <si>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</si>
  <si>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</si>
  <si>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</si>
  <si>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</si>
  <si>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</si>
  <si>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</si>
  <si>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</si>
  <si>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</si>
  <si>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</si>
  <si>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</si>
  <si>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</si>
  <si>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</si>
  <si>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</si>
  <si>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</si>
  <si>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</si>
  <si>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</si>
  <si>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</si>
  <si>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</si>
  <si>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</si>
  <si>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</si>
  <si>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</si>
  <si>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</si>
  <si>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</si>
  <si>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</si>
  <si>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</si>
  <si>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</si>
  <si>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</si>
  <si>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</si>
  <si>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</si>
  <si>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</si>
  <si>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</si>
  <si>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</si>
  <si>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</si>
  <si>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</si>
  <si>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</si>
  <si>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</si>
  <si>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</si>
  <si>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</si>
  <si>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</si>
  <si>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</si>
  <si>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</si>
  <si>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</si>
  <si>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</si>
  <si>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</si>
  <si>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</si>
  <si>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</si>
  <si>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</si>
  <si>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</si>
  <si>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</si>
  <si>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</si>
  <si>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</si>
  <si>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</si>
  <si>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</si>
  <si>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</si>
  <si>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</si>
  <si>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</si>
  <si>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</si>
  <si>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</si>
  <si>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</si>
  <si>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</si>
  <si>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</si>
  <si>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</si>
  <si>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</si>
  <si>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</si>
  <si>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</si>
  <si>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</si>
  <si>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</si>
  <si>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</si>
  <si>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</si>
  <si>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</si>
  <si>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</si>
  <si>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</si>
  <si>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</si>
  <si>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</si>
  <si>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</si>
  <si>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</si>
  <si>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</si>
  <si>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</si>
  <si>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</si>
  <si>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</si>
  <si>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</si>
  <si>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</si>
  <si>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</si>
  <si>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</si>
  <si>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</si>
  <si>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</si>
  <si>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</si>
  <si>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</si>
  <si>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</si>
  <si>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</si>
  <si>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</si>
  <si>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</si>
  <si>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</si>
  <si>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</si>
  <si>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</si>
  <si>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</si>
  <si>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</si>
  <si>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</si>
  <si>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</si>
  <si>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</si>
  <si>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</si>
  <si>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</si>
  <si>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</si>
  <si>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</si>
  <si>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</si>
  <si>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</si>
  <si>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</si>
  <si>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</si>
  <si>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</si>
  <si>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</si>
  <si>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</si>
  <si>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</si>
  <si>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</si>
  <si>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</si>
  <si>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</si>
  <si>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</si>
  <si>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</si>
  <si>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</si>
  <si>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</si>
  <si>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</si>
  <si>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</si>
  <si>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</si>
  <si>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</si>
  <si>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</si>
  <si>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</si>
  <si>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</si>
  <si>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</si>
  <si>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</si>
  <si>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</si>
  <si>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</si>
  <si>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</si>
  <si>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</si>
  <si>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</si>
  <si>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</si>
  <si>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</si>
  <si>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</si>
  <si>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</si>
  <si>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</si>
  <si>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</si>
  <si>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</si>
  <si>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</si>
  <si>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</si>
  <si>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</si>
  <si>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</si>
  <si>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</si>
  <si>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</si>
  <si>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</si>
  <si>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</si>
  <si>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</si>
  <si>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</si>
  <si>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</si>
  <si>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</si>
  <si>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</si>
  <si>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</si>
  <si>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</si>
  <si>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</si>
  <si>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</si>
  <si>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</si>
  <si>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</si>
  <si>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</si>
  <si>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</si>
  <si>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</si>
  <si>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</si>
  <si>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</si>
  <si>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</si>
  <si>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</si>
  <si>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</si>
  <si>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</si>
  <si>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</si>
  <si>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</si>
  <si>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</si>
  <si>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</si>
  <si>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</si>
  <si>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</si>
  <si>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</si>
  <si>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</si>
  <si>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</si>
  <si>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</si>
  <si>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</si>
  <si>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</si>
  <si>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</si>
  <si>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</si>
  <si>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</si>
  <si>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</si>
  <si>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</si>
  <si>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</si>
  <si>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</si>
  <si>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</si>
  <si>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</si>
  <si>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</si>
  <si>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</si>
  <si>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</si>
  <si>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</si>
  <si>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</si>
  <si>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</si>
  <si>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</si>
  <si>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</si>
  <si>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</si>
  <si>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</si>
  <si>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</si>
  <si>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</si>
  <si>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</si>
  <si>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</si>
  <si>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</si>
  <si>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</si>
  <si>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</si>
  <si>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</si>
  <si>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</si>
  <si>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</si>
  <si>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</si>
  <si>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</si>
  <si>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</si>
  <si>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</si>
  <si>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</si>
  <si>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</si>
  <si>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</si>
  <si>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</si>
  <si>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</si>
  <si>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</si>
  <si>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</si>
  <si>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</si>
  <si>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</si>
  <si>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</si>
  <si>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</si>
  <si>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</si>
  <si>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</si>
  <si>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</si>
  <si>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</si>
  <si>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</si>
  <si>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</si>
  <si>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</si>
  <si>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</si>
  <si>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</si>
  <si>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</si>
  <si>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</si>
  <si>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</si>
  <si>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</si>
  <si>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</si>
  <si>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</si>
  <si>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</si>
  <si>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</si>
  <si>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</si>
  <si>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</si>
  <si>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</si>
  <si>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</si>
  <si>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</si>
  <si>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</si>
  <si>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</si>
  <si>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</si>
  <si>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</si>
  <si>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</si>
  <si>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</si>
  <si>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</si>
  <si>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</si>
  <si>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</si>
  <si>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</si>
  <si>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</si>
  <si>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</si>
  <si>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</si>
  <si>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</si>
  <si>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</si>
  <si>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</si>
  <si>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</si>
  <si>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</si>
  <si>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</si>
  <si>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</si>
  <si>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</si>
  <si>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</si>
  <si>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</si>
  <si>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</si>
  <si>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</si>
  <si>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</si>
  <si>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</si>
  <si>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</si>
  <si>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</si>
  <si>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</si>
  <si>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</si>
  <si>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</si>
  <si>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</si>
  <si>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</si>
  <si>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</si>
  <si>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</si>
  <si>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</si>
  <si>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</si>
  <si>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</si>
  <si>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</si>
  <si>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</si>
  <si>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</si>
  <si>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</si>
  <si>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</si>
  <si>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</si>
  <si>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</si>
  <si>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</si>
  <si>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</si>
  <si>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</si>
  <si>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</si>
  <si>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</si>
  <si>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</si>
  <si>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</si>
  <si>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</si>
  <si>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</si>
  <si>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</si>
  <si>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</si>
  <si>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</si>
  <si>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</si>
  <si>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</si>
  <si>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</si>
  <si>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</si>
  <si>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</si>
  <si>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</si>
  <si>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</si>
  <si>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</si>
  <si>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</si>
  <si>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</si>
  <si>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</si>
  <si>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</si>
  <si>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</si>
  <si>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</si>
  <si>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</si>
  <si>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</si>
  <si>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</si>
  <si>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</si>
  <si>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</si>
  <si>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</si>
  <si>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</si>
  <si>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</si>
  <si>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</si>
  <si>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</si>
  <si>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</si>
  <si>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</si>
  <si>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</si>
  <si>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</si>
  <si>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</si>
  <si>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</si>
  <si>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</si>
  <si>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</si>
  <si>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</si>
  <si>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</si>
  <si>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</si>
  <si>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</si>
  <si>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</si>
  <si>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</si>
  <si>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</si>
  <si>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</si>
  <si>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</si>
  <si>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</si>
  <si>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</si>
  <si>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</si>
  <si>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</si>
  <si>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</si>
  <si>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</si>
  <si>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</si>
  <si>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</si>
  <si>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</si>
  <si>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</si>
  <si>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</si>
  <si>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</si>
  <si>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</si>
  <si>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</si>
  <si>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</si>
  <si>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</si>
  <si>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</si>
  <si>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</si>
  <si>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</si>
  <si>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</si>
  <si>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</si>
  <si>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</si>
  <si>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</si>
  <si>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</si>
  <si>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</si>
  <si>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</si>
  <si>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</si>
  <si>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</si>
  <si>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</si>
  <si>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</si>
  <si>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</si>
  <si>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</si>
  <si>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</si>
  <si>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</si>
  <si>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</si>
  <si>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</si>
  <si>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</si>
  <si>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</si>
  <si>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</si>
  <si>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</si>
  <si>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</si>
  <si>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</si>
  <si>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</si>
  <si>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</si>
  <si>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</si>
  <si>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</si>
  <si>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</si>
  <si>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</si>
  <si>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</si>
  <si>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</si>
  <si>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</si>
  <si>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</si>
  <si>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</si>
  <si>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</si>
  <si>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</si>
  <si>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</si>
  <si>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</si>
  <si>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</si>
  <si>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</si>
  <si>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</si>
  <si>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</si>
  <si>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</si>
  <si>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</si>
  <si>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</si>
  <si>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</si>
  <si>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</si>
  <si>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</si>
  <si>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</si>
  <si>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</si>
  <si>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</si>
  <si>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</si>
  <si>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</si>
  <si>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</si>
  <si>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</si>
  <si>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</si>
  <si>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</si>
  <si>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</si>
  <si>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</si>
  <si>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</si>
  <si>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</si>
  <si>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</si>
  <si>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</si>
  <si>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</si>
  <si>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</si>
  <si>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</si>
  <si>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</si>
  <si>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</si>
  <si>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</si>
  <si>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</si>
  <si>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</si>
  <si>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</si>
  <si>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</si>
  <si>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</si>
  <si>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</si>
  <si>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</si>
  <si>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</si>
  <si>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</si>
  <si>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</si>
  <si>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</si>
  <si>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</si>
  <si>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</si>
  <si>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</si>
  <si>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</si>
  <si>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</si>
  <si>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</si>
  <si>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</si>
  <si>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</si>
  <si>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</si>
  <si>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</si>
  <si>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</si>
  <si>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</si>
  <si>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</si>
  <si>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</si>
  <si>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</si>
  <si>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</si>
  <si>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</si>
  <si>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</si>
  <si>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</si>
  <si>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</si>
  <si>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</si>
  <si>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</si>
  <si>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</si>
  <si>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</si>
  <si>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</si>
  <si>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</si>
  <si>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</si>
  <si>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</si>
  <si>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</si>
  <si>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</si>
  <si>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</si>
  <si>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</si>
  <si>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</si>
  <si>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</si>
  <si>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</si>
  <si>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</si>
  <si>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</si>
  <si>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</si>
  <si>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</si>
  <si>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</si>
  <si>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</si>
  <si>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</si>
  <si>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</si>
  <si>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</si>
  <si>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</si>
  <si>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</si>
  <si>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</si>
  <si>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</si>
  <si>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</si>
  <si>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</si>
  <si>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</si>
  <si>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</si>
  <si>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</si>
  <si>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</si>
  <si>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</si>
  <si>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</si>
  <si>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</si>
  <si>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</si>
  <si>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</si>
  <si>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</si>
  <si>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</si>
  <si>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</si>
  <si>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</si>
  <si>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</si>
  <si>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</si>
  <si>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</si>
  <si>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</si>
  <si>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</si>
  <si>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</si>
  <si>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</si>
  <si>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</si>
  <si>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</si>
  <si>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</si>
  <si>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</si>
  <si>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</si>
  <si>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</si>
  <si>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</si>
  <si>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</si>
  <si>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</si>
  <si>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</si>
  <si>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</si>
  <si>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</si>
  <si>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</si>
  <si>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</si>
  <si>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</si>
  <si>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</si>
  <si>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</si>
  <si>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</si>
  <si>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</si>
  <si>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</si>
  <si>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</si>
  <si>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</si>
  <si>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</si>
  <si>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</si>
  <si>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</si>
  <si>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</si>
  <si>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</si>
  <si>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</si>
  <si>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</si>
  <si>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</si>
  <si>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</si>
  <si>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</si>
  <si>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</si>
  <si>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</si>
  <si>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</si>
  <si>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</si>
  <si>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</si>
  <si>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</si>
  <si>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</si>
  <si>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</si>
  <si>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</si>
  <si>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</si>
  <si>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</si>
  <si>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</si>
  <si>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</si>
  <si>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</si>
  <si>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</si>
  <si>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</si>
  <si>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</si>
  <si>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</si>
  <si>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</si>
  <si>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</si>
  <si>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</si>
  <si>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</si>
  <si>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</si>
  <si>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</si>
  <si>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</si>
  <si>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</si>
  <si>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</si>
  <si>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</si>
  <si>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</si>
  <si>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</si>
  <si>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</si>
  <si>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</si>
  <si>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</si>
  <si>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</si>
  <si>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</si>
  <si>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</si>
  <si>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</si>
  <si>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</si>
  <si>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</si>
  <si>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</si>
  <si>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</si>
  <si>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</si>
  <si>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</si>
  <si>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</si>
  <si>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</si>
  <si>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</si>
  <si>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</si>
  <si>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</si>
  <si>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</si>
  <si>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</si>
  <si>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</si>
  <si>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</si>
  <si>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</si>
  <si>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</si>
  <si>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</si>
  <si>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</si>
  <si>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</si>
  <si>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</si>
  <si>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</si>
  <si>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</si>
  <si>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</si>
  <si>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</si>
  <si>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</si>
  <si>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</si>
  <si>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</si>
  <si>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</si>
  <si>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</si>
  <si>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</si>
  <si>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</si>
  <si>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</si>
  <si>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</si>
  <si>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</si>
  <si>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</si>
  <si>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</si>
  <si>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</si>
  <si>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</si>
  <si>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</si>
  <si>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</si>
  <si>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</si>
  <si>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</si>
  <si>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</si>
  <si>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</si>
  <si>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</si>
  <si>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</si>
  <si>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</si>
  <si>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</si>
  <si>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</si>
  <si>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</si>
  <si>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</si>
  <si>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</si>
  <si>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</si>
  <si>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</si>
  <si>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</si>
  <si>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</si>
  <si>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</si>
  <si>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</si>
  <si>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</si>
  <si>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</si>
  <si>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</si>
  <si>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</si>
  <si>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</si>
  <si>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</si>
  <si>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</si>
  <si>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</si>
  <si>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</si>
  <si>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</si>
  <si>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</si>
  <si>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</si>
  <si>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</si>
  <si>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</si>
  <si>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</si>
  <si>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</si>
  <si>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</si>
  <si>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</si>
  <si>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</si>
  <si>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</si>
  <si>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</si>
  <si>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</si>
  <si>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</si>
  <si>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</si>
  <si>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</si>
  <si>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</si>
  <si>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</si>
  <si>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</si>
  <si>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</si>
  <si>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</si>
  <si>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</si>
  <si>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</si>
  <si>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</si>
  <si>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</si>
  <si>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</si>
  <si>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</si>
  <si>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</si>
  <si>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</si>
  <si>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</si>
  <si>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</si>
  <si>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</si>
  <si>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</si>
  <si>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</si>
  <si>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</si>
  <si>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</si>
  <si>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</si>
  <si>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</si>
  <si>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</si>
  <si>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</si>
  <si>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</si>
  <si>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</si>
  <si>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</si>
  <si>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</si>
  <si>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</si>
  <si>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</si>
  <si>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</si>
  <si>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</si>
  <si>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</si>
  <si>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</si>
  <si>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</si>
  <si>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</si>
  <si>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</si>
  <si>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</si>
  <si>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</si>
  <si>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</si>
  <si>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</si>
  <si>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</si>
  <si>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</si>
  <si>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</si>
  <si>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</si>
  <si>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</si>
  <si>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</si>
  <si>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</si>
  <si>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</si>
  <si>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</si>
  <si>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</si>
  <si>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</si>
  <si>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</si>
  <si>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</si>
  <si>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</si>
  <si>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</si>
  <si>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</si>
  <si>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</si>
  <si>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</si>
  <si>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</si>
  <si>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</si>
  <si>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</si>
  <si>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</si>
  <si>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</si>
  <si>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</si>
  <si>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</si>
  <si>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</si>
  <si>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</si>
  <si>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</si>
  <si>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</si>
  <si>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</si>
  <si>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</si>
  <si>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</si>
  <si>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</si>
  <si>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</si>
  <si>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</si>
  <si>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</si>
  <si>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</si>
  <si>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</si>
  <si>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</si>
  <si>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</si>
  <si>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</si>
  <si>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</si>
  <si>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</si>
  <si>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</si>
  <si>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</si>
  <si>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</si>
  <si>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</si>
  <si>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</si>
  <si>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</si>
  <si>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</si>
  <si>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</si>
  <si>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</si>
  <si>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</si>
  <si>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</si>
  <si>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</si>
  <si>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</si>
  <si>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</si>
  <si>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</si>
  <si>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</si>
  <si>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</si>
  <si>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</si>
  <si>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</si>
  <si>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</si>
  <si>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</si>
  <si>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</si>
  <si>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</si>
  <si>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</si>
  <si>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</si>
  <si>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</si>
  <si>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</si>
  <si>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</si>
  <si>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</si>
  <si>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</si>
  <si>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</si>
  <si>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</si>
  <si>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</si>
  <si>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</si>
  <si>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</si>
  <si>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</si>
  <si>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</si>
  <si>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</si>
  <si>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</si>
  <si>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</si>
  <si>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</si>
  <si>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</si>
  <si>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</si>
  <si>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</si>
  <si>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</si>
  <si>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</si>
  <si>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</si>
  <si>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</si>
  <si>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</si>
  <si>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</si>
  <si>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</si>
  <si>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</si>
  <si>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</si>
  <si>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</si>
  <si>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</si>
  <si>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</si>
  <si>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</si>
  <si>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</si>
  <si>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</si>
  <si>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</si>
  <si>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</si>
  <si>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</si>
  <si>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</si>
  <si>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</si>
  <si>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</si>
  <si>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</si>
  <si>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</si>
  <si>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</si>
  <si>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</si>
  <si>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</si>
  <si>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</si>
  <si>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</si>
  <si>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</si>
  <si>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</si>
  <si>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</si>
  <si>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</si>
  <si>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</si>
  <si>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</si>
  <si>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</si>
  <si>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</si>
  <si>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</si>
  <si>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</si>
  <si>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</si>
  <si>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</si>
  <si>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</si>
  <si>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</si>
  <si>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</si>
  <si>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</si>
  <si>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</si>
  <si>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</si>
  <si>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</si>
  <si>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</si>
  <si>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</si>
  <si>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</si>
  <si>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</si>
  <si>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</si>
  <si>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</si>
  <si>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</si>
  <si>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</si>
  <si>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</si>
  <si>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</si>
  <si>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</si>
  <si>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</si>
  <si>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</si>
  <si>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</si>
  <si>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</si>
  <si>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</si>
  <si>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</si>
  <si>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</si>
  <si>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</si>
  <si>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</si>
  <si>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</si>
  <si>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</si>
  <si>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</si>
  <si>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</si>
  <si>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</si>
  <si>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</si>
  <si>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</si>
  <si>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</si>
  <si>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</si>
  <si>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</si>
  <si>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</si>
  <si>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</si>
  <si>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</si>
  <si>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</si>
  <si>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</si>
  <si>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</si>
  <si>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</si>
  <si>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</si>
  <si>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</si>
  <si>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</si>
  <si>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</si>
  <si>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</si>
  <si>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</si>
  <si>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</si>
  <si>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</si>
  <si>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</si>
  <si>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</si>
  <si>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</si>
  <si>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</si>
  <si>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</si>
  <si>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</si>
  <si>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</si>
  <si>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</si>
  <si>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</si>
  <si>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</si>
  <si>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</si>
  <si>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</si>
  <si>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</si>
  <si>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</si>
  <si>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</si>
  <si>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</si>
  <si>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</si>
  <si>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</si>
  <si>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</si>
  <si>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</si>
  <si>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</si>
  <si>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</si>
  <si>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</si>
  <si>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</si>
  <si>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</si>
  <si>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</si>
  <si>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</si>
  <si>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</si>
  <si>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</si>
  <si>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</si>
  <si>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</si>
  <si>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</si>
  <si>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</si>
  <si>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</si>
  <si>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</si>
  <si>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</si>
  <si>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</si>
  <si>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</si>
  <si>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</si>
  <si>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</si>
  <si>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</si>
  <si>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</si>
  <si>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</si>
  <si>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</si>
  <si>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</si>
  <si>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</si>
  <si>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</si>
  <si>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</si>
  <si>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</si>
  <si>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</si>
  <si>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</si>
  <si>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</si>
  <si>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</si>
  <si>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</si>
  <si>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</si>
  <si>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</si>
  <si>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</si>
  <si>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</si>
  <si>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</si>
  <si>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</si>
  <si>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</si>
  <si>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</si>
  <si>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</si>
  <si>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</si>
  <si>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</si>
  <si>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</si>
  <si>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</si>
  <si>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</si>
  <si>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</si>
  <si>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</si>
  <si>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</si>
  <si>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</si>
  <si>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</si>
  <si>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</si>
  <si>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</si>
  <si>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</si>
  <si>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</si>
  <si>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</si>
  <si>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</si>
  <si>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</si>
  <si>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</si>
  <si>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</si>
  <si>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</si>
  <si>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</si>
  <si>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</si>
  <si>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</si>
  <si>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</si>
  <si>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</si>
  <si>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</si>
  <si>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</si>
  <si>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</si>
  <si>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</si>
  <si>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</si>
  <si>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</si>
  <si>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</si>
  <si>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</si>
  <si>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</si>
  <si>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</si>
  <si>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</si>
  <si>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</si>
  <si>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</si>
  <si>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</si>
  <si>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</si>
  <si>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</si>
  <si>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</si>
  <si>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</si>
  <si>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</si>
  <si>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</si>
  <si>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</si>
  <si>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</si>
  <si>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</si>
  <si>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</si>
  <si>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</si>
  <si>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</si>
  <si>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</si>
  <si>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</si>
  <si>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</si>
  <si>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</si>
  <si>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</si>
  <si>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</si>
  <si>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</si>
  <si>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</si>
  <si>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</si>
  <si>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</si>
  <si>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</si>
  <si>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</si>
  <si>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</si>
  <si>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</si>
  <si>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</si>
  <si>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</si>
  <si>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</si>
  <si>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</si>
  <si>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</si>
  <si>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</si>
  <si>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</si>
  <si>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</si>
  <si>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</si>
  <si>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</si>
  <si>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</si>
  <si>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</si>
  <si>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</si>
  <si>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</si>
  <si>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</si>
  <si>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</si>
  <si>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</si>
  <si>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</si>
  <si>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</si>
  <si>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</si>
  <si>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</si>
  <si>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</si>
  <si>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</si>
  <si>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</si>
  <si>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</si>
  <si>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</si>
  <si>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</si>
  <si>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</si>
  <si>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</si>
  <si>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</si>
  <si>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</si>
  <si>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</si>
  <si>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</si>
  <si>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</si>
  <si>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</si>
  <si>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</si>
  <si>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</si>
  <si>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</si>
  <si>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</si>
  <si>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</si>
  <si>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</si>
  <si>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</si>
  <si>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</si>
  <si>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</si>
  <si>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</si>
  <si>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</si>
  <si>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</si>
  <si>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</si>
  <si>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</si>
  <si>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</si>
  <si>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</si>
  <si>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</si>
  <si>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</si>
  <si>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</si>
  <si>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</si>
  <si>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</si>
  <si>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</si>
  <si>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</si>
  <si>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</si>
  <si>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</si>
  <si>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</si>
  <si>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</si>
  <si>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</si>
  <si>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</si>
  <si>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</si>
  <si>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</si>
  <si>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</si>
  <si>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</si>
  <si>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</si>
  <si>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</si>
  <si>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</si>
  <si>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</si>
  <si>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</si>
  <si>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</si>
  <si>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</si>
  <si>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</si>
  <si>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</si>
  <si>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</si>
  <si>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</si>
  <si>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</si>
  <si>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</si>
  <si>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</si>
  <si>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</si>
  <si>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</si>
  <si>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</si>
  <si>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</si>
  <si>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</si>
  <si>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</si>
  <si>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</si>
  <si>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</si>
  <si>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</si>
  <si>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</si>
  <si>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</si>
  <si>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</si>
  <si>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</si>
  <si>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</si>
  <si>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</si>
  <si>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</si>
  <si>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</si>
  <si>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</si>
  <si>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</si>
  <si>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</si>
  <si>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</si>
  <si>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</si>
  <si>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</si>
  <si>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</si>
  <si>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</si>
  <si>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</si>
  <si>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</si>
  <si>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</si>
  <si>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</si>
  <si>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</si>
  <si>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</si>
  <si>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</si>
  <si>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</si>
  <si>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</si>
  <si>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</si>
  <si>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</si>
  <si>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</si>
  <si>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</si>
  <si>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</si>
  <si>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</si>
  <si>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</si>
  <si>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</si>
  <si>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</si>
  <si>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</si>
  <si>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</si>
  <si>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</si>
  <si>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</si>
  <si>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</si>
  <si>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</si>
  <si>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</si>
  <si>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</si>
  <si>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</si>
  <si>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</si>
  <si>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</si>
  <si>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</si>
  <si>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</si>
  <si>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</si>
  <si>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</si>
  <si>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</si>
  <si>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</si>
  <si>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</si>
  <si>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</si>
  <si>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</si>
  <si>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</si>
  <si>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</si>
  <si>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</si>
  <si>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</si>
  <si>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</si>
  <si>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</si>
  <si>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</si>
  <si>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</si>
  <si>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</si>
  <si>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</si>
  <si>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</si>
  <si>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</si>
  <si>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</si>
  <si>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</si>
  <si>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</si>
  <si>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</si>
  <si>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</si>
  <si>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</si>
  <si>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</si>
  <si>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</si>
  <si>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</si>
  <si>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</si>
  <si>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</si>
  <si>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</si>
  <si>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</si>
  <si>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</si>
  <si>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</si>
  <si>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</si>
  <si>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</si>
  <si>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</si>
  <si>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</si>
  <si>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</si>
  <si>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</si>
  <si>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</si>
  <si>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</si>
  <si>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</si>
  <si>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</si>
  <si>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</si>
  <si>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</si>
  <si>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</si>
  <si>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</si>
  <si>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</si>
  <si>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</si>
  <si>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</si>
  <si>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</si>
  <si>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</si>
  <si>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</si>
  <si>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</si>
  <si>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</si>
  <si>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</si>
  <si>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</si>
  <si>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</si>
  <si>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</si>
  <si>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</si>
  <si>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</si>
  <si>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</si>
  <si>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</si>
  <si>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</si>
  <si>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</si>
  <si>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</si>
  <si>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</si>
  <si>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</si>
  <si>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</si>
  <si>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</si>
  <si>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</si>
  <si>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</si>
  <si>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</si>
  <si>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</si>
  <si>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</si>
  <si>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</si>
  <si>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</si>
  <si>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</si>
  <si>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</si>
  <si>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</si>
  <si>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</si>
  <si>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</si>
  <si>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</si>
  <si>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</si>
  <si>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</si>
  <si>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</si>
  <si>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</si>
  <si>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</si>
  <si>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</si>
  <si>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</si>
  <si>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</si>
  <si>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</si>
  <si>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</si>
  <si>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</si>
  <si>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</si>
  <si>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</si>
  <si>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</si>
  <si>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</si>
  <si>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</si>
  <si>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</si>
  <si>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</si>
  <si>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</si>
  <si>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</si>
  <si>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</si>
  <si>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</si>
  <si>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</si>
  <si>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</si>
  <si>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</si>
  <si>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</si>
  <si>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</si>
  <si>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</si>
  <si>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</si>
  <si>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</si>
  <si>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</si>
  <si>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</si>
  <si>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</si>
  <si>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</si>
  <si>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</si>
  <si>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</si>
  <si>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</si>
  <si>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</si>
  <si>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</si>
  <si>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</si>
  <si>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</si>
  <si>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</si>
  <si>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</si>
  <si>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</si>
  <si>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</si>
  <si>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</si>
  <si>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</si>
  <si>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</si>
  <si>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</si>
  <si>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</si>
  <si>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</si>
  <si>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</si>
  <si>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</si>
  <si>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</si>
  <si>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</si>
  <si>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</si>
  <si>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</si>
  <si>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</si>
  <si>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</si>
  <si>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</si>
  <si>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</si>
  <si>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</si>
  <si>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</si>
  <si>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</si>
  <si>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</si>
  <si>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</si>
  <si>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</si>
  <si>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</si>
  <si>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</si>
  <si>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</si>
  <si>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</si>
  <si>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</si>
  <si>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</si>
  <si>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</si>
  <si>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</si>
  <si>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</si>
  <si>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</si>
  <si>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</si>
  <si>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</si>
  <si>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</si>
  <si>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</si>
  <si>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</si>
  <si>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</si>
  <si>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</si>
  <si>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</si>
  <si>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</si>
  <si>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</si>
  <si>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</si>
  <si>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</si>
  <si>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</si>
  <si>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</si>
  <si>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</si>
  <si>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</si>
  <si>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</si>
  <si>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</si>
  <si>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</si>
  <si>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</si>
  <si>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</si>
  <si>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</si>
  <si>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</si>
  <si>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</si>
  <si>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</si>
  <si>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</si>
  <si>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</si>
  <si>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</si>
  <si>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</si>
  <si>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</si>
  <si>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</si>
  <si>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</si>
  <si>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</si>
  <si>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</si>
  <si>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</si>
  <si>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</si>
  <si>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</si>
  <si>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</si>
  <si>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</si>
  <si>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</si>
  <si>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</si>
  <si>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</si>
  <si>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</si>
  <si>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</si>
  <si>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</si>
  <si>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</si>
  <si>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</si>
  <si>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</si>
  <si>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</si>
  <si>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</si>
  <si>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</si>
  <si>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</si>
  <si>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</si>
  <si>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</si>
  <si>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</si>
  <si>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</si>
  <si>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</si>
  <si>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</si>
  <si>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</si>
  <si>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</si>
  <si>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</si>
  <si>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</si>
  <si>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</si>
  <si>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</si>
  <si>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</si>
  <si>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</si>
  <si>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</si>
  <si>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</si>
  <si>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</si>
  <si>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</si>
  <si>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</si>
  <si>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</si>
  <si>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</si>
  <si>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</si>
  <si>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</si>
  <si>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</si>
  <si>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</si>
  <si>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</si>
  <si>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</si>
  <si>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</si>
  <si>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</si>
  <si>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</si>
  <si>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</si>
  <si>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</si>
  <si>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</si>
  <si>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</si>
  <si>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</si>
  <si>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</si>
  <si>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</si>
  <si>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</si>
  <si>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</si>
  <si>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</si>
  <si>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</si>
  <si>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</si>
  <si>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</si>
  <si>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</si>
  <si>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</si>
  <si>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</si>
  <si>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</si>
  <si>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</si>
  <si>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</si>
  <si>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</si>
  <si>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</si>
  <si>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</si>
  <si>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</si>
  <si>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</si>
  <si>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</si>
  <si>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</si>
  <si>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</si>
  <si>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</si>
  <si>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</si>
  <si>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</si>
  <si>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</si>
  <si>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</si>
  <si>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</si>
  <si>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</si>
  <si>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</si>
  <si>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</si>
  <si>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</si>
  <si>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</si>
  <si>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</si>
  <si>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</si>
  <si>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</si>
  <si>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</si>
  <si>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</si>
  <si>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</si>
  <si>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</si>
  <si>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</si>
  <si>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</si>
  <si>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</si>
  <si>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</si>
  <si>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</si>
  <si>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</si>
  <si>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</si>
  <si>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</si>
  <si>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</si>
  <si>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</si>
  <si>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</si>
  <si>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</si>
  <si>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</si>
  <si>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</si>
  <si>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</si>
  <si>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</si>
  <si>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</si>
  <si>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</si>
  <si>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</si>
  <si>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</si>
  <si>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</si>
  <si>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</si>
  <si>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</si>
  <si>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</si>
  <si>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</si>
  <si>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</si>
  <si>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</si>
  <si>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</si>
  <si>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</si>
  <si>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</si>
  <si>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</si>
  <si>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</si>
  <si>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</si>
  <si>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</si>
  <si>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</si>
  <si>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</si>
  <si>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</si>
  <si>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</si>
  <si>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</si>
  <si>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</si>
  <si>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</si>
  <si>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</si>
  <si>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</si>
  <si>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</si>
  <si>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</si>
  <si>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</si>
  <si>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</si>
  <si>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</si>
  <si>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</si>
  <si>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</si>
  <si>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</si>
  <si>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</si>
  <si>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</si>
  <si>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</si>
  <si>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</si>
  <si>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</si>
  <si>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</si>
  <si>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</si>
  <si>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</si>
  <si>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</si>
  <si>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</si>
  <si>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</si>
  <si>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</si>
  <si>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</si>
  <si>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</si>
  <si>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</si>
  <si>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</si>
  <si>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</si>
  <si>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</si>
  <si>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</si>
  <si>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</si>
  <si>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</si>
  <si>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</si>
  <si>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</si>
  <si>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</si>
  <si>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</si>
  <si>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</si>
  <si>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</si>
  <si>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</si>
  <si>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</si>
  <si>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</si>
  <si>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</si>
  <si>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</si>
  <si>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</si>
  <si>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</si>
  <si>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</si>
  <si>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</si>
  <si>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</si>
  <si>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</si>
  <si>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</si>
  <si>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</si>
  <si>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</si>
  <si>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</si>
  <si>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</si>
  <si>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</si>
  <si>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</si>
  <si>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</si>
  <si>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</si>
  <si>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</si>
  <si>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</si>
  <si>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</si>
  <si>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</si>
  <si>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</si>
  <si>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</si>
  <si>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</si>
  <si>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</si>
  <si>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</si>
  <si>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</si>
  <si>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</si>
  <si>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</si>
  <si>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</si>
  <si>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</si>
  <si>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</si>
  <si>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</si>
  <si>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</si>
  <si>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</si>
  <si>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</si>
  <si>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</si>
  <si>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</si>
  <si>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</si>
  <si>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</si>
  <si>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</si>
  <si>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</si>
  <si>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</si>
  <si>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</si>
  <si>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</si>
  <si>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</si>
  <si>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</si>
  <si>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</si>
  <si>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</si>
  <si>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</si>
  <si>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</si>
  <si>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</si>
  <si>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</si>
  <si>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</si>
  <si>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</si>
  <si>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</si>
  <si>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</si>
  <si>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</si>
  <si>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</si>
  <si>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</si>
  <si>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</si>
  <si>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</si>
  <si>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</si>
  <si>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</si>
  <si>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</si>
  <si>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</si>
  <si>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</si>
  <si>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</si>
  <si>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</si>
  <si>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</si>
  <si>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</si>
  <si>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</si>
  <si>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</si>
  <si>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</si>
  <si>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</si>
  <si>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</si>
  <si>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</si>
  <si>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</si>
  <si>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</si>
  <si>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</si>
  <si>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</si>
  <si>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</si>
  <si>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</si>
  <si>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</si>
  <si>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</si>
  <si>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</si>
  <si>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</si>
  <si>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</si>
  <si>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</si>
  <si>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</si>
  <si>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</si>
  <si>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</si>
  <si>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</si>
  <si>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</si>
  <si>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</si>
  <si>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</si>
  <si>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</si>
  <si>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</si>
  <si>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</si>
  <si>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</si>
  <si>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</si>
  <si>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</si>
  <si>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</si>
  <si>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</si>
  <si>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</si>
  <si>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</si>
  <si>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</si>
  <si>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</si>
  <si>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</si>
  <si>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</si>
  <si>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</si>
  <si>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</si>
  <si>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</si>
  <si>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</si>
  <si>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</si>
  <si>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</si>
  <si>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</si>
  <si>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</si>
  <si>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</si>
  <si>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</si>
  <si>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</si>
  <si>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</si>
  <si>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</si>
  <si>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</si>
  <si>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</si>
  <si>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</si>
  <si>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</si>
  <si>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</si>
  <si>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</si>
  <si>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</si>
  <si>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</si>
  <si>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</si>
  <si>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</si>
  <si>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</si>
  <si>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</si>
  <si>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</si>
  <si>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</si>
  <si>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</si>
  <si>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</si>
  <si>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</si>
  <si>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</si>
  <si>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</si>
  <si>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</si>
  <si>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</si>
  <si>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</si>
  <si>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</si>
  <si>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</si>
  <si>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</si>
  <si>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</si>
  <si>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</si>
  <si>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</si>
  <si>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</si>
  <si>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</si>
  <si>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</si>
  <si>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</si>
  <si>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</si>
  <si>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</si>
  <si>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</si>
  <si>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</si>
  <si>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</si>
  <si>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</si>
  <si>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</si>
  <si>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</si>
  <si>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</si>
  <si>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</si>
  <si>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</si>
  <si>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</si>
  <si>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</si>
  <si>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</si>
  <si>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</si>
  <si>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</si>
  <si>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</si>
  <si>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</si>
  <si>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</si>
  <si>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</si>
  <si>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</si>
  <si>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</si>
  <si>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</si>
  <si>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</si>
  <si>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</si>
  <si>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</si>
  <si>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</si>
  <si>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</si>
  <si>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</si>
  <si>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</si>
  <si>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</si>
  <si>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</si>
  <si>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</si>
  <si>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</si>
  <si>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</si>
  <si>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</si>
  <si>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</si>
  <si>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</si>
  <si>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</si>
  <si>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</si>
  <si>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</si>
  <si>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</si>
  <si>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</si>
  <si>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</si>
  <si>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</si>
  <si>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</si>
  <si>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</si>
  <si>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</si>
  <si>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</si>
  <si>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</si>
  <si>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</si>
  <si>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</si>
  <si>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</si>
  <si>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</si>
  <si>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</si>
  <si>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</si>
  <si>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</si>
  <si>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</si>
  <si>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</si>
  <si>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</si>
  <si>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</si>
  <si>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</si>
  <si>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</si>
  <si>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</si>
  <si>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</si>
  <si>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</si>
  <si>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</si>
  <si>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</si>
  <si>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</si>
  <si>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</si>
  <si>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</si>
  <si>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</si>
  <si>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</si>
  <si>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</si>
  <si>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</si>
  <si>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</si>
  <si>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</si>
  <si>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</si>
  <si>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</si>
  <si>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</si>
  <si>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</si>
  <si>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</si>
  <si>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</si>
  <si>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</si>
  <si>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</si>
  <si>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</si>
  <si>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</si>
  <si>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</si>
  <si>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</si>
  <si>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</si>
  <si>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</si>
  <si>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</si>
  <si>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</si>
  <si>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</si>
  <si>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</si>
  <si>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</si>
  <si>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</si>
  <si>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</si>
  <si>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</si>
  <si>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</si>
  <si>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</si>
  <si>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</si>
  <si>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</si>
  <si>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</si>
  <si>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</si>
  <si>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</si>
  <si>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</si>
  <si>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</si>
  <si>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</si>
  <si>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</si>
  <si>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</si>
  <si>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</si>
  <si>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</si>
  <si>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</si>
  <si>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</si>
  <si>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</si>
  <si>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</si>
  <si>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</si>
  <si>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</si>
  <si>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</si>
  <si>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</si>
  <si>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</si>
  <si>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</si>
  <si>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</si>
  <si>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</si>
  <si>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</si>
  <si>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</si>
  <si>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</si>
  <si>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</si>
  <si>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</si>
  <si>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</si>
  <si>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</si>
  <si>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</si>
  <si>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</si>
  <si>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</si>
  <si>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</si>
  <si>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</si>
  <si>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</si>
  <si>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</si>
  <si>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</si>
  <si>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</si>
  <si>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</si>
  <si>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</si>
  <si>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</si>
  <si>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</si>
  <si>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</si>
  <si>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</si>
  <si>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</si>
  <si>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</si>
  <si>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</si>
  <si>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</si>
  <si>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</si>
  <si>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</si>
  <si>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</si>
  <si>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</si>
  <si>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</si>
  <si>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</si>
  <si>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</si>
  <si>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</si>
  <si>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</si>
  <si>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</si>
  <si>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</si>
  <si>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</si>
  <si>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</si>
  <si>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</si>
  <si>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</si>
  <si>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</si>
  <si>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</si>
  <si>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</si>
  <si>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</si>
  <si>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</si>
  <si>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</si>
  <si>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</si>
  <si>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</si>
  <si>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</si>
  <si>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</si>
  <si>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</si>
  <si>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</si>
  <si>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</si>
  <si>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</si>
  <si>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</si>
  <si>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</si>
  <si>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</si>
  <si>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</si>
  <si>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</si>
  <si>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</si>
  <si>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</si>
  <si>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</si>
  <si>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</si>
  <si>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</si>
  <si>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</si>
  <si>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</si>
  <si>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</si>
  <si>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</si>
  <si>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</si>
  <si>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</si>
  <si>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</si>
  <si>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</si>
  <si>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</si>
  <si>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</si>
  <si>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</si>
  <si>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</si>
  <si>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</si>
  <si>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</si>
  <si>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</si>
  <si>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</si>
  <si>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</si>
  <si>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</si>
  <si>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</si>
  <si>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</si>
  <si>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</si>
  <si>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</si>
  <si>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</si>
  <si>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</si>
  <si>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</si>
  <si>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</si>
  <si>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</si>
  <si>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</si>
  <si>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</si>
  <si>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</si>
  <si>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</si>
  <si>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</si>
  <si>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</si>
  <si>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</si>
  <si>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</si>
  <si>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</si>
  <si>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</si>
  <si>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</si>
  <si>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</si>
  <si>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</si>
  <si>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</si>
  <si>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</si>
  <si>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</si>
  <si>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</si>
  <si>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</si>
  <si>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</si>
  <si>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</si>
  <si>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</si>
  <si>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</si>
  <si>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</si>
  <si>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</si>
  <si>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</si>
  <si>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</si>
  <si>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</si>
  <si>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</si>
  <si>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</si>
  <si>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</si>
  <si>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</si>
  <si>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</si>
  <si>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</si>
  <si>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</si>
  <si>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</si>
  <si>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</si>
  <si>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</si>
  <si>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</si>
  <si>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</si>
  <si>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</si>
  <si>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</si>
  <si>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</si>
  <si>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</si>
  <si>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</si>
  <si>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</si>
  <si>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</si>
  <si>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</si>
  <si>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</si>
  <si>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</si>
  <si>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</si>
  <si>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</si>
  <si>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</si>
  <si>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</si>
  <si>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</si>
  <si>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</si>
  <si>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</si>
  <si>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</si>
  <si>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</si>
  <si>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</si>
  <si>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</si>
  <si>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</si>
  <si>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</si>
  <si>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</si>
  <si>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</si>
  <si>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</si>
  <si>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</si>
  <si>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</si>
  <si>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</si>
  <si>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</si>
  <si>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</si>
  <si>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</si>
  <si>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</si>
  <si>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</si>
  <si>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</si>
  <si>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</si>
  <si>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</si>
  <si>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</si>
  <si>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</si>
  <si>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</si>
  <si>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</si>
  <si>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</si>
  <si>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</si>
  <si>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</si>
  <si>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</si>
  <si>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</si>
  <si>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</si>
  <si>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</si>
  <si>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</si>
  <si>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</si>
  <si>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</si>
  <si>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</si>
  <si>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</si>
  <si>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</si>
  <si>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</si>
  <si>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</si>
  <si>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</si>
  <si>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</si>
  <si>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</si>
  <si>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</si>
  <si>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</si>
  <si>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</si>
  <si>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</si>
  <si>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</si>
  <si>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</si>
  <si>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</si>
  <si>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</si>
  <si>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</si>
  <si>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</si>
  <si>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</si>
  <si>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</si>
  <si>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</si>
  <si>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</si>
  <si>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</si>
  <si>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</si>
  <si>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</si>
  <si>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</si>
  <si>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</si>
  <si>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</si>
  <si>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</si>
  <si>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</si>
  <si>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</si>
  <si>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</si>
  <si>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</si>
  <si>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</si>
  <si>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</si>
  <si>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</si>
  <si>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</si>
  <si>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</si>
  <si>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</si>
  <si>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</si>
  <si>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</si>
  <si>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</si>
  <si>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</si>
  <si>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</si>
  <si>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</si>
  <si>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</si>
  <si>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</si>
  <si>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</si>
  <si>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</si>
  <si>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</si>
  <si>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</si>
  <si>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</si>
  <si>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</si>
  <si>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</si>
  <si>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</si>
  <si>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</si>
  <si>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</si>
  <si>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</si>
  <si>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</si>
  <si>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</si>
  <si>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</si>
  <si>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</si>
  <si>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</si>
  <si>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</si>
  <si>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</si>
  <si>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</si>
  <si>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</si>
  <si>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</si>
  <si>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</si>
  <si>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</si>
  <si>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</si>
  <si>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</si>
  <si>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</si>
  <si>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</si>
  <si>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</si>
  <si>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</si>
  <si>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</si>
  <si>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</si>
  <si>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</si>
  <si>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</si>
  <si>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</si>
  <si>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</si>
  <si>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</si>
  <si>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</si>
  <si>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</si>
  <si>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</si>
  <si>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</si>
  <si>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</si>
  <si>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</si>
  <si>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</si>
  <si>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</si>
  <si>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</si>
  <si>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</si>
  <si>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</si>
  <si>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</si>
  <si>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</si>
  <si>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</si>
  <si>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</si>
  <si>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</si>
  <si>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</si>
  <si>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</si>
  <si>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</si>
  <si>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</si>
  <si>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</si>
  <si>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</si>
  <si>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</si>
  <si>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</si>
  <si>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</si>
  <si>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</si>
  <si>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</si>
  <si>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</si>
  <si>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</si>
  <si>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</si>
  <si>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</si>
  <si>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</si>
  <si>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</si>
  <si>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</si>
  <si>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</si>
  <si>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</si>
  <si>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</si>
  <si>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</si>
  <si>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</si>
  <si>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</si>
  <si>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</si>
  <si>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</si>
  <si>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</si>
  <si>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</si>
  <si>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</si>
  <si>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</si>
  <si>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</si>
  <si>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</si>
  <si>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</si>
  <si>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</si>
  <si>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</si>
  <si>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</si>
  <si>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</si>
  <si>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</si>
  <si>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</si>
  <si>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</si>
  <si>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</si>
  <si>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</si>
  <si>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</si>
  <si>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</si>
  <si>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</si>
  <si>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</si>
  <si>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</si>
  <si>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</si>
  <si>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</si>
  <si>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</si>
  <si>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</si>
  <si>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</si>
  <si>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</si>
  <si>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</si>
  <si>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</si>
  <si>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</si>
  <si>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</si>
  <si>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</si>
  <si>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</si>
  <si>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</si>
  <si>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</si>
  <si>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</si>
  <si>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</si>
  <si>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</si>
  <si>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</si>
  <si>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</si>
  <si>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</si>
  <si>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</si>
  <si>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</si>
  <si>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</si>
  <si>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</si>
  <si>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</si>
  <si>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</si>
  <si>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</si>
  <si>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</si>
  <si>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</si>
  <si>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</si>
  <si>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</si>
  <si>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</si>
  <si>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</si>
  <si>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</si>
  <si>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</si>
  <si>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</si>
  <si>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</si>
  <si>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</si>
  <si>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</si>
  <si>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</si>
  <si>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</si>
  <si>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</si>
  <si>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</si>
  <si>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</si>
  <si>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</si>
  <si>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</si>
  <si>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</si>
  <si>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</si>
  <si>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</si>
  <si>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</si>
  <si>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</si>
  <si>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</si>
  <si>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</si>
  <si>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</si>
  <si>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</si>
  <si>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</si>
  <si>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</si>
  <si>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</si>
  <si>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</si>
  <si>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</si>
  <si>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</si>
  <si>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</si>
  <si>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</si>
  <si>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</si>
  <si>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</si>
  <si>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</si>
  <si>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</si>
  <si>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</si>
  <si>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</si>
  <si>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</si>
  <si>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</si>
  <si>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</si>
  <si>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</si>
  <si>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</si>
  <si>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</si>
  <si>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</si>
  <si>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</si>
  <si>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</si>
  <si>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</si>
  <si>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</si>
  <si>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</si>
  <si>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</si>
  <si>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</si>
  <si>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</si>
  <si>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</si>
  <si>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</si>
  <si>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</si>
  <si>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</si>
  <si>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</si>
  <si>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</si>
  <si>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</si>
  <si>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</si>
  <si>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</si>
  <si>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</si>
  <si>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</si>
  <si>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</si>
  <si>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</si>
  <si>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</si>
  <si>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</si>
  <si>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</si>
  <si>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</si>
  <si>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</si>
  <si>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</si>
  <si>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</si>
  <si>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</si>
  <si>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</si>
  <si>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</si>
  <si>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</si>
  <si>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</si>
  <si>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</si>
  <si>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</si>
  <si>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</si>
  <si>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</si>
  <si>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</si>
  <si>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</si>
  <si>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</si>
  <si>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</si>
  <si>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</si>
  <si>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</si>
  <si>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</si>
  <si>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</si>
  <si>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</si>
  <si>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</si>
  <si>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</si>
  <si>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</si>
  <si>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</si>
  <si>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</si>
  <si>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</si>
  <si>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</si>
  <si>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</si>
  <si>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</si>
  <si>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</si>
  <si>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</si>
  <si>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</si>
  <si>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</si>
  <si>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</si>
  <si>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</si>
  <si>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</si>
  <si>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</si>
  <si>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</si>
  <si>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</si>
  <si>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</si>
  <si>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</si>
  <si>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</si>
  <si>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</si>
  <si>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</si>
  <si>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</si>
  <si>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</si>
  <si>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</si>
  <si>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</si>
  <si>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</si>
  <si>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</si>
  <si>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</si>
  <si>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</si>
  <si>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</si>
  <si>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</si>
  <si>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</si>
  <si>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</si>
  <si>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</si>
  <si>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</si>
  <si>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</si>
  <si>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</si>
  <si>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</si>
  <si>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</si>
  <si>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</si>
  <si>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</si>
  <si>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</si>
  <si>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</si>
  <si>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</si>
  <si>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</si>
  <si>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</si>
  <si>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</si>
  <si>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</si>
  <si>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</si>
  <si>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</si>
  <si>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</si>
  <si>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</si>
  <si>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</si>
  <si>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</si>
  <si>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</si>
  <si>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</si>
  <si>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</si>
  <si>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</si>
  <si>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</si>
  <si>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</si>
  <si>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</si>
  <si>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</si>
  <si>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</si>
  <si>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</si>
  <si>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</si>
  <si>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</si>
  <si>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</si>
  <si>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</si>
  <si>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</si>
  <si>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</si>
  <si>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</si>
  <si>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</si>
  <si>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</si>
  <si>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</si>
  <si>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</si>
  <si>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</si>
  <si>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</si>
  <si>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</si>
  <si>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</si>
  <si>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</si>
  <si>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</si>
  <si>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</si>
  <si>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</si>
  <si>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</si>
  <si>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</si>
  <si>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</si>
  <si>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</si>
  <si>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</si>
  <si>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</si>
  <si>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</si>
  <si>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</si>
  <si>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</si>
  <si>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</si>
  <si>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</si>
  <si>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</si>
  <si>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</si>
  <si>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</si>
  <si>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</si>
  <si>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</si>
  <si>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</si>
  <si>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</si>
  <si>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</si>
  <si>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</si>
  <si>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</si>
  <si>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</si>
  <si>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</si>
  <si>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</si>
  <si>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</si>
  <si>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</si>
  <si>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</si>
  <si>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</si>
  <si>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</si>
  <si>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</si>
  <si>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</si>
  <si>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</si>
  <si>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</si>
  <si>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</si>
  <si>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</si>
  <si>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</si>
  <si>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</si>
  <si>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</si>
  <si>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</si>
  <si>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</si>
  <si>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</si>
  <si>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</si>
  <si>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</si>
  <si>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</si>
  <si>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</si>
  <si>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</si>
  <si>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</si>
  <si>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</si>
  <si>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</si>
  <si>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</si>
  <si>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</si>
  <si>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</si>
  <si>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</si>
  <si>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</si>
  <si>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</si>
  <si>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</si>
  <si>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</si>
  <si>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</si>
  <si>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</si>
  <si>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</si>
  <si>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</si>
  <si>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</si>
  <si>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</si>
  <si>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</si>
  <si>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</si>
  <si>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</si>
  <si>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</si>
  <si>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</si>
  <si>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</si>
  <si>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</si>
  <si>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</si>
  <si>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</si>
  <si>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</si>
  <si>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</si>
  <si>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</si>
  <si>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</si>
  <si>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</si>
  <si>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</si>
  <si>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</si>
  <si>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</si>
  <si>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</si>
  <si>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</si>
  <si>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</si>
  <si>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</si>
  <si>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</si>
  <si>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</si>
  <si>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</si>
  <si>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</si>
  <si>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</si>
  <si>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</si>
  <si>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</si>
  <si>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</si>
  <si>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</si>
  <si>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</si>
  <si>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</si>
  <si>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</si>
  <si>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</si>
  <si>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</si>
  <si>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</si>
  <si>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</si>
  <si>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</si>
  <si>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</si>
  <si>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</si>
  <si>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</si>
  <si>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</si>
  <si>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</si>
  <si>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</si>
  <si>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</si>
  <si>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</si>
  <si>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</si>
  <si>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</si>
  <si>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</si>
  <si>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</si>
  <si>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</si>
  <si>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</si>
  <si>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</si>
  <si>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</si>
  <si>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</si>
  <si>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</si>
  <si>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</si>
  <si>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</si>
  <si>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</si>
  <si>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</si>
  <si>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</si>
  <si>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</si>
  <si>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</si>
  <si>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</si>
  <si>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</si>
  <si>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</si>
  <si>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</si>
  <si>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</si>
  <si>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</si>
  <si>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</si>
  <si>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</si>
  <si>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</si>
  <si>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</si>
  <si>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</si>
  <si>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</si>
  <si>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</si>
  <si>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</si>
  <si>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</si>
  <si>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</si>
  <si>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</si>
  <si>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</si>
  <si>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</si>
  <si>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</si>
  <si>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</si>
  <si>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</si>
  <si>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</si>
  <si>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</si>
  <si>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</si>
  <si>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</si>
  <si>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</si>
  <si>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</si>
  <si>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</si>
  <si>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</si>
  <si>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</si>
  <si>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</si>
  <si>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</si>
  <si>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</si>
  <si>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</si>
  <si>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</si>
  <si>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</si>
  <si>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</si>
  <si>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</si>
  <si>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</si>
  <si>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</si>
  <si>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</si>
  <si>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</si>
  <si>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</si>
  <si>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</si>
  <si>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</si>
  <si>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</si>
  <si>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</si>
  <si>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</si>
  <si>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</si>
  <si>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</si>
  <si>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</si>
  <si>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</si>
  <si>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</si>
  <si>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</si>
  <si>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</si>
  <si>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</si>
  <si>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</si>
  <si>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</si>
  <si>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</si>
  <si>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</si>
  <si>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</si>
  <si>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</si>
  <si>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</si>
  <si>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</si>
  <si>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</si>
  <si>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</si>
  <si>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</si>
  <si>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</si>
  <si>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</si>
  <si>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</si>
  <si>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</si>
  <si>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</si>
  <si>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</si>
  <si>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</si>
  <si>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</si>
  <si>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</si>
  <si>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</si>
  <si>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</si>
  <si>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</si>
  <si>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</si>
  <si>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</si>
  <si>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</si>
  <si>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</si>
  <si>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</si>
  <si>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</si>
  <si>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</si>
  <si>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</si>
  <si>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</si>
  <si>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</si>
  <si>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</si>
  <si>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</si>
  <si>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</si>
  <si>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</si>
  <si>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</si>
  <si>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</si>
  <si>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</si>
  <si>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</si>
  <si>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</si>
  <si>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</si>
  <si>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</si>
  <si>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</si>
  <si>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</si>
  <si>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</si>
  <si>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</si>
  <si>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</si>
  <si>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</si>
  <si>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</si>
  <si>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</si>
  <si>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</si>
  <si>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</si>
  <si>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</si>
  <si>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</si>
  <si>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</si>
  <si>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</si>
  <si>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</si>
  <si>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</si>
  <si>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</si>
  <si>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</si>
  <si>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</si>
  <si>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</si>
  <si>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</si>
  <si>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</si>
  <si>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</si>
  <si>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</si>
  <si>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</si>
  <si>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</si>
  <si>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</si>
  <si>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</si>
  <si>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</si>
  <si>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</si>
  <si>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</si>
  <si>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</si>
  <si>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</si>
  <si>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</si>
  <si>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</si>
  <si>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</si>
  <si>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</si>
  <si>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</si>
  <si>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</si>
  <si>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</si>
  <si>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</si>
  <si>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</si>
  <si>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</si>
  <si>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</si>
  <si>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</si>
  <si>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</si>
  <si>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</si>
  <si>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</si>
  <si>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</si>
  <si>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</si>
  <si>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</si>
  <si>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</si>
  <si>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</si>
  <si>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</si>
  <si>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</si>
  <si>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</si>
  <si>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</si>
  <si>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</si>
  <si>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</si>
  <si>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</si>
  <si>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</si>
  <si>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</si>
  <si>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</si>
  <si>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</si>
  <si>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</si>
  <si>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</si>
  <si>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</si>
  <si>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</si>
  <si>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</si>
  <si>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</si>
  <si>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</si>
  <si>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</si>
  <si>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</si>
  <si>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</si>
  <si>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</si>
  <si>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</si>
  <si>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</si>
  <si>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</si>
  <si>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</si>
  <si>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</si>
  <si>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</si>
  <si>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</si>
  <si>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</si>
  <si>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</si>
  <si>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</si>
  <si>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</si>
  <si>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</si>
  <si>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</si>
  <si>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</si>
  <si>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</si>
  <si>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</si>
  <si>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</si>
  <si>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</si>
  <si>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</si>
  <si>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</si>
  <si>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</si>
  <si>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</si>
  <si>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</si>
  <si>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</si>
  <si>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</si>
  <si>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</si>
  <si>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</si>
  <si>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</si>
  <si>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</si>
  <si>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</si>
  <si>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</si>
  <si>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</si>
  <si>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</si>
  <si>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</si>
  <si>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</si>
  <si>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</si>
  <si>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</si>
  <si>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</si>
  <si>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</si>
  <si>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</si>
  <si>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</si>
  <si>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</si>
  <si>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</si>
  <si>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</si>
  <si>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</si>
  <si>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</si>
  <si>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</si>
  <si>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</si>
  <si>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</si>
  <si>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</si>
  <si>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</si>
  <si>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</si>
  <si>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</si>
  <si>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</si>
  <si>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</si>
  <si>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</si>
  <si>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</si>
  <si>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</si>
  <si>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</si>
  <si>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</si>
  <si>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</si>
  <si>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</si>
  <si>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</si>
  <si>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</si>
  <si>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</si>
  <si>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</si>
  <si>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</si>
  <si>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</si>
  <si>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</si>
  <si>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</si>
  <si>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</si>
  <si>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</si>
  <si>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</si>
  <si>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</si>
  <si>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</si>
  <si>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</si>
  <si>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</si>
  <si>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</si>
  <si>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</si>
  <si>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</si>
  <si>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</si>
  <si>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</si>
  <si>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</si>
  <si>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</si>
  <si>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</si>
  <si>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</si>
  <si>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</si>
  <si>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</si>
  <si>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</si>
  <si>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</si>
  <si>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</si>
  <si>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</si>
  <si>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</si>
  <si>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</si>
  <si>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</si>
  <si>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</si>
  <si>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</si>
  <si>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</si>
  <si>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</si>
  <si>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</si>
  <si>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</si>
  <si>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</si>
  <si>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</si>
  <si>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</si>
  <si>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</si>
  <si>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</si>
  <si>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</si>
  <si>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</si>
  <si>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</si>
  <si>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</si>
  <si>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</si>
  <si>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</si>
  <si>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</si>
  <si>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</si>
  <si>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</si>
  <si>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</si>
  <si>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</si>
  <si>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</si>
  <si>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</si>
  <si>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</si>
  <si>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</si>
  <si>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</si>
  <si>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</si>
  <si>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</si>
  <si>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</si>
  <si>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</si>
  <si>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</si>
  <si>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</si>
  <si>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</si>
  <si>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</si>
  <si>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</si>
  <si>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</si>
  <si>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</si>
  <si>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</si>
  <si>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</si>
  <si>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</si>
  <si>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</si>
  <si>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</si>
  <si>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</si>
  <si>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</si>
  <si>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</si>
  <si>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</si>
  <si>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</si>
  <si>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</si>
  <si>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</si>
  <si>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</si>
  <si>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</si>
  <si>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</si>
  <si>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</si>
  <si>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</si>
  <si>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</si>
  <si>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</si>
  <si>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</si>
  <si>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</si>
  <si>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</si>
  <si>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</si>
  <si>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</si>
  <si>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</si>
  <si>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</si>
  <si>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</si>
  <si>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</si>
  <si>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</si>
  <si>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</si>
  <si>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</si>
  <si>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</si>
  <si>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</si>
  <si>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</si>
  <si>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</si>
  <si>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</si>
  <si>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</si>
  <si>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</si>
  <si>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</si>
  <si>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</si>
  <si>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</si>
  <si>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</si>
  <si>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</si>
  <si>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</si>
  <si>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</si>
  <si>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</si>
  <si>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</si>
  <si>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</si>
  <si>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</si>
  <si>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</si>
  <si>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</si>
  <si>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</si>
  <si>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</si>
  <si>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</si>
  <si>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</si>
  <si>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</si>
  <si>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</si>
  <si>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</si>
  <si>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</si>
  <si>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</si>
  <si>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</si>
  <si>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</si>
  <si>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</si>
  <si>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</si>
  <si>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</si>
  <si>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</si>
  <si>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</si>
  <si>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</si>
  <si>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</si>
  <si>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</si>
  <si>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</si>
  <si>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</si>
  <si>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</si>
  <si>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</si>
  <si>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</si>
  <si>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</si>
  <si>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</si>
  <si>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</si>
  <si>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</si>
  <si>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</si>
  <si>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</si>
  <si>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</si>
  <si>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</si>
  <si>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</si>
  <si>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</si>
  <si>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</si>
  <si>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</si>
  <si>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</si>
  <si>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</si>
  <si>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</si>
  <si>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</si>
  <si>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</si>
  <si>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</si>
  <si>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</si>
  <si>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</si>
  <si>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</si>
  <si>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</si>
  <si>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</si>
  <si>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</si>
  <si>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</si>
  <si>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</si>
  <si>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</si>
  <si>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</si>
  <si>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</si>
  <si>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</si>
  <si>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</si>
  <si>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</si>
  <si>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</si>
  <si>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</si>
  <si>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</si>
  <si>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</si>
  <si>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</si>
  <si>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</si>
  <si>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</si>
  <si>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</si>
  <si>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</si>
  <si>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</si>
  <si>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</si>
  <si>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</si>
  <si>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</si>
  <si>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</si>
  <si>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</si>
  <si>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</si>
  <si>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</si>
  <si>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</si>
  <si>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</si>
  <si>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</si>
  <si>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</si>
  <si>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</si>
  <si>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</si>
  <si>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</si>
  <si>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</si>
  <si>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</si>
  <si>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</si>
  <si>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</si>
  <si>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</si>
  <si>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</si>
  <si>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</si>
  <si>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</si>
  <si>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</si>
  <si>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</si>
  <si>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</si>
  <si>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</si>
  <si>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</si>
  <si>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</si>
  <si>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</si>
  <si>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</si>
  <si>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</si>
  <si>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</si>
  <si>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</si>
  <si>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</si>
  <si>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</si>
  <si>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</si>
  <si>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</si>
  <si>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</si>
  <si>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</si>
  <si>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</si>
  <si>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</si>
  <si>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</si>
  <si>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</si>
  <si>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</si>
  <si>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</si>
  <si>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</si>
  <si>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</si>
  <si>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</si>
  <si>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</si>
  <si>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</si>
  <si>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</si>
  <si>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</si>
  <si>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</si>
  <si>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</si>
  <si>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</si>
  <si>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</si>
  <si>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</si>
  <si>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</si>
  <si>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</si>
  <si>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</si>
  <si>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</si>
  <si>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</si>
  <si>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</si>
  <si>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</si>
  <si>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</si>
  <si>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</si>
  <si>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</si>
  <si>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</si>
  <si>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</si>
  <si>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</si>
  <si>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</si>
  <si>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</si>
  <si>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</si>
  <si>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</si>
  <si>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</si>
  <si>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</si>
  <si>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</si>
  <si>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</si>
  <si>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</si>
  <si>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</si>
  <si>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</si>
  <si>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</si>
  <si>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</si>
  <si>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</si>
  <si>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</si>
  <si>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</si>
  <si>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</si>
  <si>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</si>
  <si>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</si>
  <si>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</si>
  <si>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</si>
  <si>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</si>
  <si>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</si>
  <si>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</si>
  <si>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</si>
  <si>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</si>
  <si>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</si>
  <si>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</si>
  <si>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</si>
  <si>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</si>
  <si>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</si>
  <si>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</si>
  <si>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</si>
  <si>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</si>
  <si>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</si>
  <si>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</si>
  <si>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</si>
  <si>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</si>
  <si>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</si>
  <si>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</si>
  <si>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</si>
  <si>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</si>
  <si>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</si>
  <si>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</si>
  <si>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</si>
  <si>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</si>
  <si>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</si>
  <si>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</si>
  <si>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</si>
  <si>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</si>
  <si>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</si>
  <si>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</si>
  <si>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</si>
  <si>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</si>
  <si>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</si>
  <si>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</si>
  <si>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</si>
  <si>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</si>
  <si>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</si>
  <si>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</si>
  <si>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</si>
  <si>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</si>
  <si>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</si>
  <si>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</si>
  <si>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</si>
  <si>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</si>
  <si>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</si>
  <si>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</si>
  <si>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</si>
  <si>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</si>
  <si>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</si>
  <si>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</si>
  <si>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</si>
  <si>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</si>
  <si>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</si>
  <si>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</si>
  <si>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</si>
  <si>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</si>
  <si>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</si>
  <si>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</si>
  <si>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</si>
  <si>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</si>
  <si>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</si>
  <si>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</si>
  <si>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</si>
  <si>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</si>
  <si>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</si>
  <si>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</si>
  <si>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</si>
  <si>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</si>
  <si>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</si>
  <si>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</si>
  <si>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</si>
  <si>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</si>
  <si>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</si>
  <si>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</si>
  <si>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</si>
  <si>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</si>
  <si>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</si>
  <si>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</si>
  <si>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</si>
  <si>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</si>
  <si>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</si>
  <si>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</si>
  <si>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</si>
  <si>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</si>
  <si>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</si>
  <si>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</si>
  <si>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</si>
  <si>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</si>
  <si>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</si>
  <si>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</si>
  <si>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</si>
  <si>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</si>
  <si>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</si>
  <si>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</si>
  <si>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</si>
  <si>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</si>
  <si>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</si>
  <si>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</si>
  <si>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</si>
  <si>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</si>
  <si>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</si>
  <si>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</si>
  <si>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</si>
  <si>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</si>
  <si>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</si>
  <si>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</si>
  <si>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</si>
  <si>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</si>
  <si>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</si>
  <si>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</si>
  <si>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</si>
  <si>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</si>
  <si>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</si>
  <si>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</si>
  <si>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</si>
  <si>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</si>
  <si>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</si>
  <si>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</si>
  <si>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</si>
  <si>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</si>
  <si>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</si>
  <si>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</si>
  <si>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</si>
  <si>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</si>
  <si>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</si>
  <si>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</si>
  <si>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</si>
  <si>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</si>
  <si>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</si>
  <si>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</si>
  <si>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</si>
  <si>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</si>
  <si>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</si>
  <si>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</si>
  <si>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</si>
  <si>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</si>
  <si>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</si>
  <si>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</si>
  <si>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</si>
  <si>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</si>
  <si>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</si>
  <si>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</si>
  <si>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</si>
  <si>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</si>
  <si>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</si>
  <si>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</si>
  <si>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</si>
  <si>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</si>
  <si>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</si>
  <si>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</si>
  <si>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</si>
  <si>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</si>
  <si>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</si>
  <si>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</si>
  <si>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</si>
  <si>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</si>
  <si>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</si>
  <si>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</si>
  <si>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</si>
  <si>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</si>
  <si>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</si>
  <si>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</si>
  <si>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</si>
  <si>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</si>
  <si>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</si>
  <si>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</si>
  <si>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</si>
  <si>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</si>
  <si>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</si>
  <si>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</si>
  <si>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</si>
  <si>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</si>
  <si>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</si>
  <si>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</si>
  <si>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</si>
  <si>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</si>
  <si>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</si>
  <si>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</si>
  <si>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</si>
  <si>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</si>
  <si>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</si>
  <si>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</si>
  <si>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</si>
  <si>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</si>
  <si>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</si>
  <si>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</si>
  <si>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</si>
  <si>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</si>
  <si>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</si>
  <si>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</si>
  <si>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</si>
  <si>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</si>
  <si>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</si>
  <si>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</si>
  <si>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</si>
  <si>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</si>
  <si>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</si>
  <si>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</si>
  <si>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</si>
  <si>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</si>
  <si>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</si>
  <si>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</si>
  <si>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</si>
  <si>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</si>
  <si>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</si>
  <si>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</si>
  <si>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</si>
  <si>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</si>
  <si>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</si>
  <si>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</si>
  <si>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</si>
  <si>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</si>
  <si>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</si>
  <si>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</si>
  <si>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</si>
  <si>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</si>
  <si>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</si>
  <si>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</si>
  <si>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</si>
  <si>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</si>
  <si>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</si>
  <si>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</si>
  <si>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</si>
  <si>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</si>
  <si>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</si>
  <si>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</si>
  <si>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</si>
  <si>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</si>
  <si>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</si>
  <si>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</si>
  <si>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</si>
  <si>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</si>
  <si>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</si>
  <si>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</si>
  <si>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</si>
  <si>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</si>
  <si>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</si>
  <si>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</si>
  <si>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</si>
  <si>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</si>
  <si>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</si>
  <si>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</si>
  <si>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</si>
  <si>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</si>
  <si>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</si>
  <si>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</si>
  <si>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</si>
  <si>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</si>
  <si>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</si>
  <si>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</si>
  <si>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</si>
  <si>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</si>
  <si>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</si>
  <si>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</si>
  <si>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</si>
  <si>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</si>
  <si>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</si>
  <si>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</si>
  <si>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</si>
  <si>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</si>
  <si>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</si>
  <si>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</si>
  <si>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</si>
  <si>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</si>
  <si>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</si>
  <si>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</si>
  <si>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</si>
  <si>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</si>
  <si>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</si>
  <si>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</si>
  <si>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</si>
  <si>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</si>
  <si>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</si>
  <si>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</si>
  <si>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</si>
  <si>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</si>
  <si>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</si>
  <si>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</si>
  <si>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</si>
  <si>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</si>
  <si>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</si>
  <si>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</si>
  <si>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</si>
  <si>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</si>
  <si>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</si>
  <si>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</si>
  <si>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</si>
  <si>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</si>
  <si>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</si>
  <si>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</si>
  <si>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</si>
  <si>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</si>
  <si>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</si>
  <si>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</si>
  <si>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</si>
  <si>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</si>
  <si>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</si>
  <si>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</si>
  <si>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</si>
  <si>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</si>
  <si>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</si>
  <si>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</si>
  <si>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</si>
  <si>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</si>
  <si>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</si>
  <si>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</si>
  <si>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</si>
  <si>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</si>
  <si>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</si>
  <si>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</si>
  <si>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</si>
  <si>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</si>
  <si>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</si>
  <si>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</si>
  <si>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</si>
  <si>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</si>
  <si>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</si>
  <si>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</si>
  <si>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</si>
  <si>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</si>
  <si>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</si>
  <si>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</si>
  <si>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</si>
  <si>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</si>
  <si>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</si>
  <si>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</si>
  <si>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</si>
  <si>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</si>
  <si>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</si>
  <si>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</si>
  <si>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</si>
  <si>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</si>
  <si>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</si>
  <si>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</si>
  <si>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</si>
  <si>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</si>
  <si>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</si>
  <si>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</si>
  <si>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</si>
  <si>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</si>
  <si>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</si>
  <si>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</si>
  <si>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</si>
  <si>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</si>
  <si>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</si>
  <si>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</si>
  <si>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</si>
  <si>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</si>
  <si>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</si>
  <si>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</si>
  <si>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</si>
  <si>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</si>
  <si>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</si>
  <si>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</si>
  <si>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</si>
  <si>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</si>
  <si>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</si>
  <si>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</si>
  <si>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</si>
  <si>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</si>
  <si>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</si>
  <si>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</si>
  <si>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</si>
  <si>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</si>
  <si>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</si>
  <si>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</si>
  <si>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</si>
  <si>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</si>
  <si>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</si>
  <si>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</si>
  <si>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</si>
  <si>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</si>
  <si>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</si>
  <si>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</si>
  <si>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</si>
  <si>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</si>
  <si>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</si>
  <si>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</si>
  <si>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</si>
  <si>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</si>
  <si>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</si>
  <si>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</si>
  <si>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</si>
  <si>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</si>
  <si>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</si>
  <si>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</si>
  <si>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</si>
  <si>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</si>
  <si>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</si>
  <si>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</si>
  <si>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</si>
  <si>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</si>
  <si>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</si>
  <si>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</si>
  <si>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</si>
  <si>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</si>
  <si>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</si>
  <si>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</si>
  <si>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</si>
  <si>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</si>
  <si>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</si>
  <si>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</si>
  <si>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</si>
  <si>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</si>
  <si>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</si>
  <si>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</si>
  <si>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</si>
  <si>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</si>
  <si>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</si>
  <si>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</si>
  <si>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</si>
  <si>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</si>
  <si>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</si>
  <si>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</si>
  <si>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</si>
  <si>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</si>
  <si>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</si>
  <si>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</si>
  <si>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</si>
  <si>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</si>
  <si>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</si>
  <si>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</si>
  <si>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</si>
  <si>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</si>
  <si>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</si>
  <si>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</si>
  <si>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</si>
  <si>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</si>
  <si>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</si>
  <si>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</si>
  <si>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</si>
  <si>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</si>
  <si>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</si>
  <si>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</si>
  <si>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</si>
  <si>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</si>
  <si>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</si>
  <si>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</si>
  <si>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</si>
  <si>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</si>
  <si>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</si>
  <si>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</si>
  <si>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</si>
  <si>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</si>
  <si>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</si>
  <si>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</si>
  <si>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</si>
  <si>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</si>
  <si>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</si>
  <si>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</si>
  <si>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</si>
  <si>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</si>
  <si>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</si>
  <si>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</si>
  <si>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</si>
  <si>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</si>
  <si>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</si>
  <si>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</si>
  <si>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</si>
  <si>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</si>
  <si>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</si>
  <si>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</si>
  <si>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</si>
  <si>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</si>
  <si>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</si>
  <si>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</si>
  <si>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</si>
  <si>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</si>
  <si>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</si>
  <si>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</si>
  <si>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</si>
  <si>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</si>
  <si>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</si>
  <si>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</si>
  <si>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</si>
  <si>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</si>
  <si>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</si>
  <si>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</si>
  <si>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</si>
  <si>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</si>
  <si>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</si>
  <si>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</si>
  <si>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</si>
  <si>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</si>
  <si>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</si>
  <si>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</si>
  <si>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</si>
  <si>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</si>
  <si>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</si>
  <si>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</si>
  <si>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</si>
  <si>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</si>
  <si>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</si>
  <si>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</si>
  <si>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</si>
  <si>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</si>
  <si>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</si>
  <si>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</si>
  <si>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</si>
  <si>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</si>
  <si>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</si>
  <si>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</si>
  <si>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</si>
  <si>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</si>
  <si>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</si>
  <si>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</si>
  <si>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</si>
  <si>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</si>
  <si>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</si>
  <si>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</si>
  <si>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</si>
  <si>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</si>
  <si>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</si>
  <si>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</si>
  <si>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</si>
  <si>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</si>
  <si>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</si>
  <si>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</si>
  <si>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</si>
  <si>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</si>
  <si>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</si>
  <si>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</si>
  <si>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</si>
  <si>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</si>
  <si>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</si>
  <si>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</si>
  <si>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</si>
  <si>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</si>
  <si>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</si>
  <si>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</si>
  <si>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</si>
  <si>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</si>
  <si>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</si>
  <si>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</si>
  <si>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</si>
  <si>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</si>
  <si>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</si>
  <si>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</si>
  <si>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</si>
  <si>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</si>
  <si>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</si>
  <si>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</si>
  <si>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</si>
  <si>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</si>
  <si>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</si>
  <si>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</si>
  <si>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</si>
  <si>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</si>
  <si>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</si>
  <si>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</si>
  <si>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</si>
  <si>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</si>
  <si>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</si>
  <si>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</si>
  <si>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</si>
  <si>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</si>
  <si>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</si>
  <si>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</si>
  <si>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</si>
  <si>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</si>
  <si>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</si>
  <si>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</si>
  <si>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</si>
  <si>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</si>
  <si>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</si>
  <si>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</si>
  <si>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</si>
  <si>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</si>
  <si>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</si>
  <si>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</si>
  <si>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</si>
  <si>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</si>
  <si>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</si>
  <si>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</si>
  <si>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</si>
  <si>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</si>
  <si>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</si>
  <si>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</si>
  <si>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</si>
  <si>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</si>
  <si>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</si>
  <si>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</si>
  <si>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</si>
  <si>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</si>
  <si>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</si>
  <si>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</si>
  <si>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</si>
  <si>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</si>
  <si>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</si>
  <si>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</si>
  <si>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</si>
  <si>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</si>
  <si>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</si>
  <si>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</si>
  <si>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</si>
  <si>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</si>
  <si>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</si>
  <si>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</si>
  <si>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</si>
  <si>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</si>
  <si>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</si>
  <si>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</si>
  <si>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</si>
  <si>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</si>
  <si>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</si>
  <si>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</si>
  <si>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</si>
  <si>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</si>
  <si>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</si>
  <si>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</si>
  <si>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</si>
  <si>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</si>
  <si>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</si>
  <si>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</si>
  <si>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</si>
  <si>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</si>
  <si>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</si>
  <si>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</si>
  <si>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</si>
  <si>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</si>
  <si>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</si>
  <si>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</si>
  <si>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</si>
  <si>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</si>
  <si>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</si>
  <si>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</si>
  <si>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</si>
  <si>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</si>
  <si>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</si>
  <si>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</si>
  <si>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</si>
  <si>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</si>
  <si>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</si>
  <si>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</si>
  <si>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</si>
  <si>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</si>
  <si>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</si>
  <si>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</si>
  <si>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</si>
  <si>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</si>
  <si>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</si>
  <si>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</si>
  <si>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</si>
  <si>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</si>
  <si>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</si>
  <si>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</si>
  <si>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</si>
  <si>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</si>
  <si>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</si>
  <si>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</si>
  <si>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</si>
  <si>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</si>
  <si>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</si>
  <si>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</si>
  <si>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</si>
  <si>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</si>
  <si>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</si>
  <si>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</si>
  <si>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</si>
  <si>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</si>
  <si>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</si>
  <si>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</si>
  <si>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</si>
  <si>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</si>
  <si>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</si>
  <si>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</si>
  <si>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</si>
  <si>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</si>
  <si>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</si>
  <si>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</si>
  <si>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</si>
  <si>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</si>
  <si>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</si>
  <si>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</si>
  <si>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</si>
  <si>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</si>
  <si>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</si>
  <si>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</si>
  <si>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</si>
  <si>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</si>
  <si>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</si>
  <si>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</si>
  <si>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</si>
  <si>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</si>
  <si>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</si>
  <si>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</si>
  <si>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</si>
  <si>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</si>
  <si>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</si>
  <si>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</si>
  <si>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</si>
  <si>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</si>
  <si>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</si>
  <si>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</si>
  <si>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</si>
  <si>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</si>
  <si>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</si>
  <si>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</si>
  <si>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</si>
  <si>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</si>
  <si>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</si>
  <si>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</si>
  <si>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</si>
  <si>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</si>
  <si>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</si>
  <si>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</si>
  <si>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</si>
  <si>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</si>
  <si>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</si>
  <si>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</si>
  <si>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</si>
  <si>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</si>
  <si>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</si>
  <si>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</si>
  <si>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</si>
  <si>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</si>
  <si>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</si>
  <si>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</si>
  <si>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</si>
  <si>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</si>
  <si>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</si>
  <si>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</si>
  <si>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</si>
  <si>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</si>
  <si>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</si>
  <si>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</si>
  <si>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</si>
  <si>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</si>
  <si>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</si>
  <si>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</si>
  <si>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</si>
  <si>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</si>
  <si>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</si>
  <si>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</si>
  <si>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</si>
  <si>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</si>
  <si>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</si>
  <si>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</si>
  <si>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</si>
  <si>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</si>
  <si>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</si>
  <si>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</si>
  <si>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</si>
  <si>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</si>
  <si>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</si>
  <si>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</si>
  <si>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</si>
  <si>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</si>
  <si>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</si>
  <si>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</si>
  <si>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</si>
  <si>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</si>
  <si>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</si>
  <si>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</si>
  <si>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</si>
  <si>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</si>
  <si>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</si>
  <si>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</si>
  <si>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</si>
  <si>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</si>
  <si>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</si>
  <si>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</si>
  <si>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</si>
  <si>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</si>
  <si>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</si>
  <si>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</si>
  <si>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</si>
  <si>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</si>
  <si>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</si>
  <si>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</si>
  <si>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</si>
  <si>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</si>
  <si>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</si>
  <si>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</si>
  <si>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</si>
  <si>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</si>
  <si>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</si>
  <si>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</si>
  <si>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</si>
  <si>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</si>
  <si>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</si>
  <si>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</si>
  <si>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</si>
  <si>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</si>
  <si>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</si>
  <si>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</si>
  <si>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</si>
  <si>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</si>
  <si>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</si>
  <si>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</si>
  <si>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</si>
  <si>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</si>
  <si>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</si>
  <si>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</si>
  <si>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</si>
  <si>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</si>
  <si>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</si>
  <si>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</si>
  <si>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</si>
  <si>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</si>
  <si>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</si>
  <si>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</si>
  <si>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</si>
  <si>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</si>
  <si>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</si>
  <si>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</si>
  <si>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</si>
  <si>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</si>
  <si>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</si>
  <si>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</si>
  <si>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</si>
  <si>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</si>
  <si>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</si>
  <si>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</si>
  <si>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</si>
  <si>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</si>
  <si>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</si>
  <si>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</si>
  <si>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</si>
  <si>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</si>
  <si>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</si>
  <si>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</si>
  <si>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</si>
  <si>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</si>
  <si>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</si>
  <si>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</si>
  <si>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</si>
  <si>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</si>
  <si>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</si>
  <si>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</si>
  <si>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</si>
  <si>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</si>
  <si>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</si>
  <si>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</si>
  <si>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</si>
  <si>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</si>
  <si>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</si>
  <si>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</si>
  <si>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</si>
  <si>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</si>
  <si>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</si>
  <si>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</si>
  <si>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</si>
  <si>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</si>
  <si>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</si>
  <si>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</si>
  <si>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</si>
  <si>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</si>
  <si>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</si>
  <si>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</si>
  <si>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</si>
  <si>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</si>
  <si>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</si>
  <si>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</si>
  <si>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</si>
  <si>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</si>
  <si>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</si>
  <si>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</si>
  <si>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</si>
  <si>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</si>
  <si>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</si>
  <si>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</si>
  <si>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</si>
  <si>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</si>
  <si>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</si>
  <si>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</si>
  <si>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</si>
  <si>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</si>
  <si>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</si>
  <si>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</si>
  <si>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</si>
  <si>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</si>
  <si>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</si>
  <si>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</si>
  <si>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</si>
  <si>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</si>
  <si>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</si>
  <si>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</si>
  <si>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</si>
  <si>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</si>
  <si>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</si>
  <si>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</si>
  <si>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</si>
  <si>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</si>
  <si>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</si>
  <si>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</si>
  <si>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</si>
  <si>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</si>
  <si>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</si>
  <si>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</si>
  <si>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</si>
  <si>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</si>
  <si>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</si>
  <si>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</si>
  <si>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</si>
  <si>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</si>
  <si>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</si>
  <si>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</si>
  <si>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</si>
  <si>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</si>
  <si>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</si>
  <si>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</si>
  <si>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</si>
  <si>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</si>
  <si>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</si>
  <si>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</si>
  <si>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</si>
  <si>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</si>
  <si>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</si>
  <si>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</si>
  <si>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</si>
  <si>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</si>
  <si>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</si>
  <si>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</si>
  <si>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</si>
  <si>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</si>
  <si>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</si>
  <si>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</si>
  <si>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</si>
  <si>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</si>
  <si>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</si>
  <si>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</si>
  <si>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</si>
  <si>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</si>
  <si>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</si>
  <si>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</si>
  <si>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</si>
  <si>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</si>
  <si>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</si>
  <si>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</si>
  <si>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</si>
  <si>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</si>
  <si>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</si>
  <si>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</si>
  <si>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</si>
  <si>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</si>
  <si>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</si>
  <si>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</si>
  <si>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</si>
  <si>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</si>
  <si>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</si>
  <si>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</si>
  <si>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</si>
  <si>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</si>
  <si>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</si>
  <si>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</si>
  <si>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</si>
  <si>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</si>
  <si>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</si>
  <si>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</si>
  <si>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</si>
  <si>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</si>
  <si>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</si>
  <si>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</si>
  <si>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</si>
  <si>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</si>
  <si>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</si>
  <si>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</si>
  <si>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</si>
  <si>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</si>
  <si>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</si>
  <si>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</si>
  <si>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</si>
  <si>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</si>
  <si>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</si>
  <si>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</si>
  <si>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</si>
  <si>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</si>
  <si>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</si>
  <si>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</si>
  <si>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</si>
  <si>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</si>
  <si>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</si>
  <si>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</si>
  <si>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</si>
  <si>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</si>
  <si>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</si>
  <si>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</si>
  <si>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</si>
  <si>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</si>
  <si>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</si>
  <si>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</si>
  <si>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</si>
  <si>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</si>
  <si>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</si>
  <si>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</si>
  <si>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</si>
  <si>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</si>
  <si>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</si>
  <si>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</si>
  <si>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</si>
  <si>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</si>
  <si>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</si>
  <si>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</si>
  <si>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</si>
  <si>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</si>
  <si>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</si>
  <si>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</si>
  <si>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</si>
  <si>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</si>
  <si>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</si>
  <si>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</si>
  <si>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</si>
  <si>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</si>
  <si>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</si>
  <si>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</si>
  <si>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</si>
  <si>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</si>
  <si>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</si>
  <si>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</si>
  <si>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</si>
  <si>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</si>
  <si>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</si>
  <si>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</si>
  <si>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</si>
  <si>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</si>
  <si>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</si>
  <si>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</si>
  <si>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</si>
  <si>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</si>
  <si>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</si>
  <si>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</si>
  <si>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</si>
  <si>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</si>
  <si>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</si>
  <si>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</si>
  <si>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</si>
  <si>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</si>
  <si>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</si>
  <si>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</si>
  <si>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</si>
  <si>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</si>
  <si>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</si>
  <si>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</si>
  <si>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</si>
  <si>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</si>
  <si>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</si>
  <si>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</si>
  <si>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</si>
  <si>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</si>
  <si>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</si>
  <si>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</si>
  <si>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</si>
  <si>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</si>
  <si>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</si>
  <si>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</si>
  <si>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</si>
  <si>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</si>
  <si>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</si>
  <si>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</si>
  <si>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</si>
  <si>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</si>
  <si>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</si>
  <si>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</si>
  <si>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</si>
  <si>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</si>
  <si>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</si>
  <si>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</si>
  <si>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</si>
  <si>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</si>
  <si>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</si>
  <si>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</si>
  <si>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</si>
  <si>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</si>
  <si>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</si>
  <si>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</si>
  <si>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</si>
  <si>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</si>
  <si>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</si>
  <si>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</si>
  <si>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</si>
  <si>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</si>
  <si>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</si>
  <si>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</si>
  <si>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</si>
  <si>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</si>
  <si>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</si>
  <si>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</si>
  <si>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</si>
  <si>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</si>
  <si>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</si>
  <si>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</si>
  <si>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</si>
  <si>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</si>
  <si>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</si>
  <si>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</si>
  <si>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</si>
  <si>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</si>
  <si>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</si>
  <si>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</si>
  <si>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</si>
  <si>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</si>
  <si>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</si>
  <si>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</si>
  <si>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</si>
  <si>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</si>
  <si>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</si>
  <si>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</si>
  <si>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</si>
  <si>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</si>
  <si>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</si>
  <si>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</si>
  <si>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</si>
  <si>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</si>
  <si>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</si>
  <si>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</si>
  <si>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</si>
  <si>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</si>
  <si>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</si>
  <si>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</si>
  <si>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</si>
  <si>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</si>
  <si>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</si>
  <si>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</si>
  <si>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</si>
  <si>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</si>
  <si>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</si>
  <si>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</si>
  <si>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</si>
  <si>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</si>
  <si>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</si>
  <si>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</si>
  <si>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</si>
  <si>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</si>
  <si>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</si>
  <si>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</si>
  <si>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</si>
  <si>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</si>
  <si>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</si>
  <si>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</si>
  <si>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</si>
  <si>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</si>
  <si>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</si>
  <si>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</si>
  <si>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</si>
  <si>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</si>
  <si>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</si>
  <si>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</si>
  <si>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</si>
  <si>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</si>
  <si>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</si>
  <si>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</si>
  <si>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</si>
  <si>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</si>
  <si>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</si>
  <si>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</si>
  <si>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</si>
  <si>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</si>
  <si>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</si>
  <si>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</si>
  <si>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</si>
  <si>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</si>
  <si>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</si>
  <si>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</si>
  <si>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</si>
  <si>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</si>
  <si>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</si>
  <si>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</si>
  <si>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</si>
  <si>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</si>
  <si>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</si>
  <si>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</si>
  <si>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</si>
  <si>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</si>
  <si>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</si>
  <si>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</si>
  <si>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</si>
  <si>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</si>
  <si>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</si>
  <si>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</si>
  <si>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</si>
  <si>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</si>
  <si>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</si>
  <si>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</si>
  <si>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</si>
  <si>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</si>
  <si>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</si>
  <si>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</si>
  <si>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</si>
  <si>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</si>
  <si>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</si>
  <si>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</si>
  <si>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</si>
  <si>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</si>
  <si>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</si>
  <si>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</si>
  <si>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</si>
  <si>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</si>
  <si>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</si>
  <si>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</si>
  <si>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</si>
  <si>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</si>
  <si>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</si>
  <si>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</si>
  <si>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</si>
  <si>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</si>
  <si>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</si>
  <si>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</si>
  <si>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</si>
  <si>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</si>
  <si>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</si>
  <si>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</si>
  <si>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</si>
  <si>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</si>
  <si>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</si>
  <si>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</si>
  <si>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</si>
  <si>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</si>
  <si>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</si>
  <si>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</si>
  <si>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</si>
  <si>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</si>
  <si>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</si>
  <si>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</si>
  <si>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</si>
  <si>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</si>
  <si>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</si>
  <si>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</si>
  <si>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</si>
  <si>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</si>
  <si>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</si>
  <si>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</si>
  <si>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</si>
  <si>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</si>
  <si>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</si>
  <si>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</si>
  <si>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</si>
  <si>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</si>
  <si>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</si>
  <si>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</si>
  <si>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</si>
  <si>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</si>
  <si>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</si>
  <si>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</si>
  <si>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</si>
  <si>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</si>
  <si>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</si>
  <si>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</si>
  <si>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</si>
  <si>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</si>
  <si>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</si>
  <si>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</si>
  <si>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</si>
  <si>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</si>
  <si>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</si>
  <si>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</si>
  <si>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</si>
  <si>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</si>
  <si>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</si>
  <si>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</si>
  <si>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</si>
  <si>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</si>
  <si>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</si>
  <si>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</si>
  <si>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</si>
  <si>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</si>
  <si>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</si>
  <si>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</si>
  <si>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</si>
  <si>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</si>
  <si>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</si>
  <si>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</si>
  <si>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</si>
  <si>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</si>
  <si>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</si>
  <si>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</si>
  <si>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</si>
  <si>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</si>
  <si>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</si>
  <si>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</si>
  <si>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</si>
  <si>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</si>
  <si>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</si>
  <si>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</si>
  <si>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</si>
  <si>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</si>
  <si>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</si>
  <si>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</si>
  <si>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</si>
  <si>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</si>
  <si>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</si>
  <si>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</si>
  <si>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</si>
  <si>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</si>
  <si>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</si>
  <si>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</si>
  <si>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</si>
  <si>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</si>
  <si>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</si>
  <si>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</si>
  <si>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</si>
  <si>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</si>
  <si>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</si>
  <si>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</si>
  <si>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</si>
  <si>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</si>
  <si>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</si>
  <si>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</si>
  <si>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</si>
  <si>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</si>
  <si>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</si>
  <si>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</si>
  <si>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</si>
  <si>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</si>
  <si>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</si>
  <si>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</si>
  <si>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</si>
  <si>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</si>
  <si>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</si>
  <si>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</si>
  <si>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</si>
  <si>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</si>
  <si>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</si>
  <si>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</si>
  <si>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</si>
  <si>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</si>
  <si>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</si>
  <si>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</si>
  <si>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</si>
  <si>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</si>
  <si>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</si>
  <si>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</si>
  <si>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</si>
  <si>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</si>
  <si>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</si>
  <si>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</si>
  <si>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</si>
  <si>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</si>
  <si>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</si>
  <si>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</si>
  <si>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</si>
  <si>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</si>
  <si>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</si>
  <si>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</si>
  <si>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</si>
  <si>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</si>
  <si>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</si>
  <si>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</si>
  <si>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</si>
  <si>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</si>
  <si>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</si>
  <si>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</si>
  <si>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</si>
  <si>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</si>
  <si>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</si>
  <si>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</si>
  <si>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</si>
  <si>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</si>
  <si>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</si>
  <si>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</si>
  <si>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</si>
  <si>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</si>
  <si>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</si>
  <si>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</si>
  <si>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</si>
  <si>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</si>
  <si>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</si>
  <si>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</si>
  <si>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</si>
  <si>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</si>
  <si>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</si>
  <si>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</si>
  <si>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</si>
  <si>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</si>
  <si>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</si>
  <si>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</si>
  <si>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</si>
  <si>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</si>
  <si>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</si>
  <si>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</si>
  <si>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</si>
  <si>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</si>
  <si>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</si>
  <si>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</si>
  <si>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</si>
  <si>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</si>
  <si>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</si>
  <si>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</si>
  <si>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</si>
  <si>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</si>
  <si>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</si>
  <si>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</si>
  <si>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</si>
  <si>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</si>
  <si>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</si>
  <si>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</si>
  <si>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</si>
  <si>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</si>
  <si>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</si>
  <si>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</si>
  <si>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</si>
  <si>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</si>
  <si>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</si>
  <si>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</si>
  <si>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</si>
  <si>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</si>
  <si>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</si>
  <si>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</si>
  <si>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</si>
  <si>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</si>
  <si>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</si>
  <si>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</si>
  <si>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</si>
  <si>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</si>
  <si>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</si>
  <si>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</si>
  <si>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</si>
  <si>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</si>
  <si>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</si>
  <si>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</si>
  <si>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</si>
  <si>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</si>
  <si>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</si>
  <si>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</si>
  <si>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</si>
  <si>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</si>
  <si>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</si>
  <si>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</si>
  <si>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</si>
  <si>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</si>
  <si>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</si>
  <si>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</si>
  <si>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</si>
  <si>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</si>
  <si>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</si>
  <si>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</si>
  <si>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</si>
  <si>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</si>
  <si>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</si>
  <si>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</si>
  <si>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</si>
  <si>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</si>
  <si>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</si>
  <si>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</si>
  <si>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</si>
  <si>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</si>
  <si>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</si>
  <si>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</si>
  <si>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</si>
  <si>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</si>
  <si>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</si>
  <si>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</si>
  <si>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</si>
  <si>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</si>
  <si>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</si>
  <si>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</si>
  <si>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</si>
  <si>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</si>
  <si>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</si>
  <si>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</si>
  <si>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</si>
  <si>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</si>
  <si>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</si>
  <si>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</si>
  <si>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</si>
  <si>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</si>
  <si>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</si>
  <si>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</si>
  <si>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</si>
  <si>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</si>
  <si>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</si>
  <si>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</si>
  <si>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</si>
  <si>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</si>
  <si>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</si>
  <si>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</si>
  <si>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</si>
  <si>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</si>
  <si>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</si>
  <si>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</si>
  <si>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</si>
  <si>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</si>
  <si>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</si>
  <si>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</si>
  <si>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</si>
  <si>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</si>
  <si>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</si>
  <si>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</si>
  <si>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</si>
  <si>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</si>
  <si>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</si>
  <si>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</si>
  <si>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</si>
  <si>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</si>
  <si>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</si>
  <si>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</si>
  <si>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</si>
  <si>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</si>
  <si>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</si>
  <si>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</si>
  <si>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</si>
  <si>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</si>
  <si>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</si>
  <si>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</si>
  <si>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</si>
  <si>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</si>
  <si>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</si>
  <si>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</si>
  <si>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</si>
  <si>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</si>
  <si>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</si>
  <si>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</si>
  <si>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</si>
  <si>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</si>
  <si>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</si>
  <si>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</si>
  <si>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</si>
  <si>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</si>
  <si>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</si>
  <si>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</si>
  <si>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</si>
  <si>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</si>
  <si>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</si>
  <si>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</si>
  <si>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</si>
  <si>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</si>
  <si>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</si>
  <si>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</si>
  <si>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</si>
  <si>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</si>
  <si>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</si>
  <si>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</si>
  <si>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</si>
  <si>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</si>
  <si>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</si>
  <si>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</si>
  <si>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</si>
  <si>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</si>
  <si>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</si>
  <si>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</si>
  <si>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</si>
  <si>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</si>
  <si>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</si>
  <si>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</si>
  <si>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</si>
  <si>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</si>
  <si>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</si>
  <si>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</si>
  <si>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</si>
  <si>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</si>
  <si>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</si>
  <si>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</si>
  <si>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</si>
  <si>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</si>
  <si>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</si>
  <si>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</si>
  <si>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</si>
  <si>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</si>
  <si>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</si>
  <si>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</si>
  <si>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</si>
  <si>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</si>
  <si>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</si>
  <si>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</si>
  <si>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</si>
  <si>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</si>
  <si>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</si>
  <si>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</si>
  <si>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</si>
  <si>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</si>
  <si>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</si>
  <si>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</si>
  <si>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</si>
  <si>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</si>
  <si>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</si>
  <si>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</si>
  <si>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</si>
  <si>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</si>
  <si>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</si>
  <si>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</si>
  <si>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</si>
  <si>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</si>
  <si>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</si>
  <si>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</si>
  <si>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</si>
  <si>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</si>
  <si>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</si>
  <si>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</si>
  <si>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</si>
  <si>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</si>
  <si>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</si>
  <si>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</si>
  <si>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</si>
  <si>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</si>
  <si>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</si>
  <si>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</si>
  <si>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</si>
  <si>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</si>
  <si>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</si>
  <si>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</si>
  <si>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</si>
  <si>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</si>
  <si>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</si>
  <si>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</si>
  <si>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</si>
  <si>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</si>
  <si>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</si>
  <si>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</si>
  <si>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</si>
  <si>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</si>
  <si>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</si>
  <si>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</si>
  <si>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</si>
  <si>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</si>
  <si>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</si>
  <si>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</si>
  <si>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</si>
  <si>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</si>
  <si>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</si>
  <si>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</si>
  <si>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</si>
  <si>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</si>
  <si>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</si>
  <si>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</si>
  <si>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</si>
  <si>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</si>
  <si>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</si>
  <si>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</si>
  <si>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</si>
  <si>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</si>
  <si>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</si>
  <si>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</si>
  <si>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</si>
  <si>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</si>
  <si>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</si>
  <si>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</si>
  <si>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</si>
  <si>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</si>
  <si>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</si>
  <si>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</si>
  <si>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</si>
  <si>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</si>
  <si>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</si>
  <si>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</si>
  <si>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</si>
  <si>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</si>
  <si>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</si>
  <si>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</si>
  <si>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</si>
  <si>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</si>
  <si>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</si>
  <si>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</si>
  <si>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</si>
  <si>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</si>
  <si>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</si>
  <si>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</si>
  <si>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</si>
  <si>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</si>
  <si>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</si>
  <si>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</si>
  <si>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</si>
  <si>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</si>
  <si>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</si>
  <si>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</si>
  <si>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</si>
  <si>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</si>
  <si>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</si>
  <si>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</si>
  <si>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</si>
  <si>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</si>
  <si>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</si>
  <si>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</si>
  <si>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</si>
  <si>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</si>
  <si>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</si>
  <si>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</si>
  <si>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</si>
  <si>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</si>
  <si>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</si>
  <si>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</si>
  <si>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</si>
  <si>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</si>
  <si>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</si>
  <si>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</si>
  <si>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</si>
  <si>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</si>
  <si>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</si>
  <si>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</si>
  <si>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</si>
  <si>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</si>
  <si>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</si>
  <si>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</si>
  <si>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</si>
  <si>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</si>
  <si>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</si>
  <si>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</si>
  <si>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</si>
  <si>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</si>
  <si>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</si>
  <si>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</si>
  <si>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</si>
  <si>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</si>
  <si>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</si>
  <si>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</si>
  <si>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</si>
  <si>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</si>
  <si>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</si>
  <si>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</si>
  <si>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</si>
  <si>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</si>
  <si>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</si>
  <si>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</si>
  <si>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</si>
  <si>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</si>
  <si>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</si>
  <si>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</si>
  <si>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</si>
  <si>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</si>
  <si>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</si>
  <si>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</si>
  <si>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</si>
  <si>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</si>
  <si>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</si>
  <si>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</si>
  <si>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</si>
  <si>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</si>
  <si>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</si>
  <si>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</si>
  <si>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</si>
  <si>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</si>
  <si>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</si>
  <si>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</si>
  <si>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</si>
  <si>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</si>
  <si>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</si>
  <si>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</si>
  <si>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</si>
  <si>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</si>
  <si>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</si>
  <si>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</si>
  <si>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</si>
  <si>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</si>
  <si>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</si>
  <si>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</si>
  <si>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</si>
  <si>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</si>
  <si>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</si>
  <si>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</si>
  <si>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</si>
  <si>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</si>
  <si>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</si>
  <si>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</si>
  <si>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</si>
  <si>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</si>
  <si>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</si>
  <si>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</si>
  <si>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</si>
  <si>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</si>
  <si>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</si>
  <si>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</si>
  <si>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</si>
  <si>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</si>
  <si>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</si>
  <si>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</si>
  <si>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</si>
  <si>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</si>
  <si>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</si>
  <si>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</si>
  <si>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</si>
  <si>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</si>
  <si>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</si>
  <si>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</si>
  <si>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</si>
  <si>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</si>
  <si>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</si>
  <si>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</si>
  <si>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</si>
  <si>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</si>
  <si>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</si>
  <si>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</si>
  <si>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</si>
  <si>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</si>
  <si>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</si>
  <si>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</si>
  <si>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</si>
  <si>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</si>
  <si>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</si>
  <si>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</si>
  <si>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</si>
  <si>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</si>
  <si>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</si>
  <si>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</si>
  <si>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</si>
  <si>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</si>
  <si>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</si>
  <si>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</si>
  <si>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</si>
  <si>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</si>
  <si>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</si>
  <si>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</si>
  <si>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</si>
  <si>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</si>
  <si>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</si>
  <si>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</si>
  <si>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</si>
  <si>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</si>
  <si>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</si>
  <si>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</si>
  <si>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</si>
  <si>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</si>
  <si>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</si>
  <si>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</si>
  <si>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</si>
  <si>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</si>
  <si>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</si>
  <si>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</si>
  <si>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</si>
  <si>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</si>
  <si>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</si>
  <si>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</si>
  <si>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</si>
  <si>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</si>
  <si>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</si>
  <si>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</si>
  <si>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</si>
  <si>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</si>
  <si>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</si>
  <si>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</si>
  <si>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</si>
  <si>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</si>
  <si>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</si>
  <si>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</si>
  <si>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</si>
  <si>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</si>
  <si>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</si>
  <si>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</si>
  <si>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</si>
  <si>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</si>
  <si>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</si>
  <si>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</si>
  <si>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</si>
  <si>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</si>
  <si>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</si>
  <si>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</si>
  <si>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</si>
  <si>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</si>
  <si>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</si>
  <si>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</si>
  <si>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</si>
  <si>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</si>
  <si>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</si>
  <si>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</si>
  <si>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</si>
  <si>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</si>
  <si>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</si>
  <si>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</si>
  <si>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</si>
  <si>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</si>
  <si>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</si>
  <si>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</si>
  <si>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</si>
  <si>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</si>
  <si>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</si>
  <si>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</si>
  <si>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</si>
  <si>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</si>
  <si>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</si>
  <si>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</si>
  <si>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</si>
  <si>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</si>
  <si>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</si>
  <si>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</si>
  <si>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</si>
  <si>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</si>
  <si>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</si>
  <si>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</si>
  <si>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</si>
  <si>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</si>
  <si>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</si>
  <si>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</si>
  <si>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</si>
  <si>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</si>
  <si>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</si>
  <si>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</si>
  <si>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</si>
  <si>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</si>
  <si>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</si>
  <si>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</si>
  <si>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</si>
  <si>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</si>
  <si>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</si>
  <si>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</si>
  <si>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</si>
  <si>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</si>
  <si>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</si>
  <si>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</si>
  <si>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</si>
  <si>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</si>
  <si>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</si>
  <si>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</si>
  <si>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</si>
  <si>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</si>
  <si>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</si>
  <si>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</si>
  <si>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</si>
  <si>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</si>
  <si>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</si>
  <si>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</si>
  <si>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</si>
  <si>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</si>
  <si>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</si>
  <si>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</si>
  <si>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</si>
  <si>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</si>
  <si>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</si>
  <si>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</si>
  <si>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</si>
  <si>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</si>
  <si>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</si>
  <si>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</si>
  <si>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</si>
  <si>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</si>
  <si>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</si>
  <si>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</si>
  <si>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</si>
  <si>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</si>
  <si>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</si>
  <si>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</si>
  <si>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</si>
  <si>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</si>
  <si>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</si>
  <si>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</si>
  <si>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</si>
  <si>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</si>
  <si>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</si>
  <si>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</si>
  <si>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</si>
  <si>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</si>
  <si>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</si>
  <si>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</si>
  <si>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</si>
  <si>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</si>
  <si>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</si>
  <si>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</si>
  <si>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</si>
  <si>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</si>
  <si>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</si>
  <si>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</si>
  <si>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</si>
  <si>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</si>
  <si>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</si>
  <si>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</si>
  <si>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</si>
  <si>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</si>
  <si>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</si>
  <si>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</si>
  <si>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</si>
  <si>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</si>
  <si>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</si>
  <si>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</si>
  <si>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</si>
  <si>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</si>
  <si>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</si>
  <si>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</si>
  <si>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</si>
  <si>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</si>
  <si>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</si>
  <si>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</si>
  <si>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</si>
  <si>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</si>
  <si>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</si>
  <si>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</si>
  <si>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</si>
  <si>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</si>
  <si>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</si>
  <si>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</si>
  <si>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</si>
  <si>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</si>
  <si>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</si>
  <si>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</si>
  <si>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</si>
  <si>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</si>
  <si>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</si>
  <si>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</si>
  <si>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</si>
  <si>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</si>
  <si>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</si>
  <si>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</si>
  <si>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</si>
  <si>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</si>
  <si>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</si>
  <si>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</si>
  <si>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</si>
  <si>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</si>
  <si>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</si>
  <si>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</si>
  <si>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</si>
  <si>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</si>
  <si>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</si>
  <si>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</si>
  <si>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</si>
  <si>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</si>
  <si>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</si>
  <si>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</si>
  <si>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</si>
  <si>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</si>
  <si>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</si>
  <si>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</si>
  <si>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</si>
  <si>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</si>
  <si>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</si>
  <si>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</si>
  <si>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</si>
  <si>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</si>
  <si>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</si>
  <si>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</si>
  <si>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</si>
  <si>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</si>
  <si>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</si>
  <si>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</si>
  <si>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</si>
  <si>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</si>
  <si>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</si>
  <si>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</si>
  <si>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</si>
  <si>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</si>
  <si>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</si>
  <si>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</si>
  <si>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</si>
  <si>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</si>
  <si>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</si>
  <si>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</si>
  <si>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</si>
  <si>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</si>
  <si>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</si>
  <si>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</si>
  <si>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</si>
  <si>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</si>
  <si>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</si>
  <si>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</si>
  <si>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</si>
  <si>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</si>
  <si>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</si>
  <si>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</si>
  <si>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</si>
  <si>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</si>
  <si>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</si>
  <si>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</si>
  <si>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</si>
  <si>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</si>
  <si>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</si>
  <si>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</si>
  <si>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</si>
  <si>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</si>
  <si>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</si>
  <si>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</si>
  <si>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</si>
  <si>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</si>
  <si>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</si>
  <si>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</si>
  <si>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</si>
  <si>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</si>
  <si>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</si>
  <si>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</si>
  <si>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</si>
  <si>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</si>
  <si>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</si>
  <si>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</si>
  <si>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</si>
  <si>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</si>
  <si>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</si>
  <si>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</si>
  <si>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</si>
  <si>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</si>
  <si>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</si>
  <si>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</si>
  <si>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</si>
  <si>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</si>
  <si>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</si>
  <si>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</si>
  <si>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</si>
  <si>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</si>
  <si>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</si>
  <si>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</si>
  <si>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</si>
  <si>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</si>
  <si>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</si>
  <si>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</si>
  <si>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</si>
  <si>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</si>
  <si>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</si>
  <si>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</si>
  <si>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</si>
  <si>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</si>
  <si>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</si>
  <si>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</si>
  <si>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</si>
  <si>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</si>
  <si>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</si>
  <si>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</si>
  <si>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</si>
  <si>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</si>
  <si>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</si>
  <si>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</si>
  <si>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</si>
  <si>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</si>
  <si>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</si>
  <si>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</si>
  <si>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</si>
  <si>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</si>
  <si>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</si>
  <si>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</si>
  <si>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</si>
  <si>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</si>
  <si>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</si>
  <si>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</si>
  <si>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</si>
  <si>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</si>
  <si>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</si>
  <si>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</si>
  <si>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</si>
  <si>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</si>
  <si>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</si>
  <si>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</si>
  <si>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</si>
  <si>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</si>
  <si>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</si>
  <si>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</si>
  <si>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</si>
  <si>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</si>
  <si>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</si>
  <si>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</si>
  <si>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</si>
  <si>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</si>
  <si>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</si>
  <si>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</si>
  <si>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</si>
  <si>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</si>
  <si>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</si>
  <si>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</si>
  <si>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</si>
  <si>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</si>
  <si>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</si>
  <si>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</si>
  <si>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</si>
  <si>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</si>
  <si>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</si>
  <si>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</si>
  <si>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</si>
  <si>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</si>
  <si>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</si>
  <si>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</si>
  <si>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</si>
  <si>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</si>
  <si>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</si>
  <si>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</si>
  <si>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</si>
  <si>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</si>
  <si>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</si>
  <si>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</si>
  <si>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</si>
  <si>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</si>
  <si>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</si>
  <si>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</si>
  <si>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</si>
  <si>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</si>
  <si>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</si>
  <si>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</si>
  <si>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</si>
  <si>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</si>
  <si>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</si>
  <si>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</si>
  <si>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</si>
  <si>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</si>
  <si>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</si>
  <si>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</si>
  <si>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</si>
  <si>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</si>
  <si>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</si>
  <si>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</si>
  <si>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</si>
  <si>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</si>
  <si>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</si>
  <si>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</si>
  <si>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</si>
  <si>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</si>
  <si>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</si>
  <si>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</si>
  <si>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</si>
  <si>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</si>
  <si>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</si>
  <si>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</si>
  <si>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</si>
  <si>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</si>
  <si>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</si>
  <si>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</si>
  <si>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</si>
  <si>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</si>
  <si>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</si>
  <si>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</si>
  <si>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</si>
  <si>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</si>
  <si>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</si>
  <si>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</si>
  <si>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</si>
  <si>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</si>
  <si>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</si>
  <si>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</si>
  <si>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</si>
  <si>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</si>
  <si>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</si>
  <si>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</si>
  <si>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</si>
  <si>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</si>
  <si>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</si>
  <si>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</si>
  <si>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</si>
  <si>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</si>
  <si>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</si>
  <si>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</si>
  <si>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</si>
  <si>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</si>
  <si>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</si>
  <si>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</si>
  <si>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</si>
  <si>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</si>
  <si>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</si>
  <si>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</si>
  <si>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</si>
  <si>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</si>
  <si>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</si>
  <si>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</si>
  <si>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</si>
  <si>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</si>
  <si>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</si>
  <si>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</si>
  <si>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</si>
  <si>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</si>
  <si>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</si>
  <si>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</si>
  <si>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</si>
  <si>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</si>
  <si>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</si>
  <si>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</si>
  <si>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</si>
  <si>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</si>
  <si>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</si>
  <si>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</si>
  <si>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</si>
  <si>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</si>
  <si>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</si>
  <si>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</si>
  <si>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</si>
  <si>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</si>
  <si>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</si>
  <si>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</si>
  <si>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</si>
  <si>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</si>
  <si>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</si>
  <si>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</si>
  <si>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</si>
  <si>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</si>
  <si>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</si>
  <si>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</si>
  <si>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</si>
  <si>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</si>
  <si>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</si>
  <si>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</si>
  <si>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</si>
  <si>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</si>
  <si>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</si>
  <si>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</si>
  <si>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</si>
  <si>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</si>
  <si>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</si>
  <si>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</si>
  <si>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</si>
  <si>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</si>
  <si>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</si>
  <si>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</si>
  <si>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</si>
  <si>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</si>
  <si>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</si>
  <si>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</si>
  <si>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</si>
  <si>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</si>
  <si>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</si>
  <si>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</si>
  <si>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</si>
  <si>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</si>
  <si>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</si>
  <si>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</si>
  <si>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</si>
  <si>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</si>
  <si>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</si>
  <si>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</si>
  <si>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</si>
  <si>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</si>
  <si>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</si>
  <si>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</si>
  <si>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</si>
  <si>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</si>
  <si>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</si>
  <si>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</si>
  <si>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</si>
  <si>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</si>
  <si>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</si>
  <si>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</si>
  <si>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</si>
  <si>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</si>
  <si>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</si>
  <si>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</si>
  <si>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</si>
  <si>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</si>
  <si>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</si>
  <si>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</si>
  <si>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</si>
  <si>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</si>
  <si>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</si>
  <si>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</si>
  <si>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</si>
  <si>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</si>
  <si>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</si>
  <si>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</si>
  <si>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</si>
  <si>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</si>
  <si>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</si>
  <si>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</si>
  <si>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</si>
  <si>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</si>
  <si>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</si>
  <si>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</si>
  <si>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</si>
  <si>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</si>
  <si>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</si>
  <si>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</si>
  <si>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</si>
  <si>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</si>
  <si>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</si>
  <si>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</si>
  <si>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</si>
  <si>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</si>
  <si>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</si>
  <si>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</si>
  <si>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</si>
  <si>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</si>
  <si>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</si>
  <si>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</si>
  <si>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</si>
  <si>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</si>
  <si>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</si>
  <si>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</si>
  <si>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</si>
  <si>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</si>
  <si>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</si>
  <si>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</si>
  <si>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</si>
  <si>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</si>
  <si>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</si>
  <si>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</si>
  <si>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</si>
  <si>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</si>
  <si>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</si>
  <si>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</si>
  <si>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</si>
  <si>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</si>
  <si>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</si>
  <si>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</si>
  <si>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</si>
  <si>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</si>
  <si>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</si>
  <si>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</si>
  <si>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</si>
  <si>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</si>
  <si>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</si>
  <si>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</si>
  <si>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</si>
  <si>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</si>
  <si>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</si>
  <si>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</si>
  <si>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</si>
  <si>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</si>
  <si>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</si>
  <si>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</si>
  <si>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</si>
  <si>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</si>
  <si>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</si>
  <si>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</si>
  <si>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</si>
  <si>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</si>
  <si>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</si>
  <si>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</si>
  <si>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</si>
  <si>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</si>
  <si>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</si>
  <si>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</si>
  <si>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</si>
  <si>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</si>
  <si>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</si>
  <si>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</si>
  <si>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</si>
  <si>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</si>
  <si>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</si>
  <si>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</si>
  <si>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</si>
  <si>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</si>
  <si>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</si>
  <si>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</si>
  <si>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</si>
  <si>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</si>
  <si>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</si>
  <si>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</si>
  <si>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</si>
  <si>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</si>
  <si>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</si>
  <si>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</si>
  <si>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</si>
  <si>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</si>
  <si>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</si>
  <si>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</si>
  <si>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</si>
  <si>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</si>
  <si>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</si>
  <si>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</si>
  <si>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</si>
  <si>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</si>
  <si>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</si>
  <si>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</si>
  <si>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</si>
  <si>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</si>
  <si>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</si>
  <si>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</si>
  <si>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</si>
  <si>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</si>
  <si>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</si>
  <si>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</si>
  <si>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</si>
  <si>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</si>
  <si>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</si>
  <si>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</si>
  <si>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</si>
  <si>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</si>
  <si>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</si>
  <si>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</si>
  <si>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</si>
  <si>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</si>
  <si>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</si>
  <si>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</si>
  <si>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</si>
  <si>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</si>
  <si>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</si>
  <si>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</si>
  <si>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</si>
  <si>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</si>
  <si>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</si>
  <si>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</si>
  <si>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</si>
  <si>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</si>
  <si>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</si>
  <si>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</si>
  <si>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</si>
  <si>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</si>
  <si>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</si>
  <si>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</si>
  <si>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</si>
  <si>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</si>
  <si>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</si>
  <si>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</si>
  <si>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</si>
  <si>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</si>
  <si>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</si>
  <si>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</si>
  <si>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</si>
  <si>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</si>
  <si>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</si>
  <si>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</si>
  <si>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</si>
  <si>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</si>
  <si>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</si>
  <si>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</si>
  <si>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</si>
  <si>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</si>
  <si>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</si>
  <si>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</si>
  <si>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</si>
  <si>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</si>
  <si>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</si>
  <si>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</si>
  <si>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</si>
  <si>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</si>
  <si>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</si>
  <si>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</si>
  <si>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</si>
  <si>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</si>
  <si>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</si>
  <si>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</si>
  <si>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</si>
  <si>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</si>
  <si>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</si>
  <si>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</si>
  <si>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</si>
  <si>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</si>
  <si>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</si>
  <si>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</si>
  <si>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</si>
  <si>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</si>
  <si>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</si>
  <si>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</si>
  <si>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</si>
  <si>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</si>
  <si>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</si>
  <si>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</si>
  <si>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</si>
  <si>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</si>
  <si>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</si>
  <si>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</si>
  <si>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</si>
  <si>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</si>
  <si>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</si>
  <si>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</si>
  <si>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</si>
  <si>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</si>
  <si>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</si>
  <si>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</si>
  <si>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</si>
  <si>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</si>
  <si>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</si>
  <si>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</si>
  <si>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</si>
  <si>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</si>
  <si>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</si>
  <si>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</si>
  <si>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</si>
  <si>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</si>
  <si>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</si>
  <si>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</si>
  <si>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</si>
  <si>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</si>
  <si>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</si>
  <si>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</si>
  <si>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</si>
  <si>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</si>
  <si>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</si>
  <si>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</si>
  <si>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</si>
  <si>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</si>
  <si>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</si>
  <si>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</si>
  <si>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</si>
  <si>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</si>
  <si>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</si>
  <si>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</si>
  <si>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</si>
  <si>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</si>
  <si>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</si>
  <si>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</si>
  <si>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</si>
  <si>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</si>
  <si>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</si>
  <si>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</si>
  <si>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</si>
  <si>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</si>
  <si>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</si>
  <si>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</si>
  <si>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</si>
  <si>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</si>
  <si>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</si>
  <si>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</si>
  <si>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</si>
  <si>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</si>
  <si>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</si>
  <si>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</si>
  <si>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</si>
  <si>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</si>
  <si>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</si>
  <si>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</si>
  <si>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</si>
  <si>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</si>
  <si>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</si>
  <si>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</si>
  <si>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</si>
  <si>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</si>
  <si>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</si>
  <si>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</si>
  <si>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</si>
  <si>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</si>
  <si>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</si>
  <si>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</si>
  <si>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</si>
  <si>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</si>
  <si>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</si>
  <si>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</si>
  <si>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</si>
  <si>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</si>
  <si>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</si>
  <si>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</si>
  <si>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</si>
  <si>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</si>
  <si>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</si>
  <si>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</si>
  <si>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</si>
  <si>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</si>
  <si>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</si>
  <si>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</si>
  <si>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</si>
  <si>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</si>
  <si>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</si>
  <si>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</si>
  <si>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</si>
  <si>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</si>
  <si>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</si>
  <si>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</si>
  <si>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</si>
  <si>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</si>
  <si>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</si>
  <si>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</si>
  <si>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</si>
  <si>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</si>
  <si>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</si>
  <si>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</si>
  <si>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</si>
  <si>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</si>
  <si>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</si>
  <si>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</si>
  <si>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</si>
  <si>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</si>
  <si>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</si>
  <si>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</si>
  <si>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</si>
  <si>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</si>
  <si>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</si>
  <si>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</si>
  <si>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</si>
  <si>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</si>
  <si>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</si>
  <si>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</si>
  <si>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</si>
  <si>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</si>
  <si>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</si>
  <si>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</si>
  <si>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</si>
  <si>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</si>
  <si>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</si>
  <si>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</si>
  <si>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</si>
  <si>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</si>
  <si>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</si>
  <si>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</si>
  <si>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</si>
  <si>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</si>
  <si>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</si>
  <si>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</si>
  <si>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</si>
  <si>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</si>
  <si>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</si>
  <si>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</si>
  <si>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</si>
  <si>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</si>
  <si>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</si>
  <si>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</si>
  <si>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</si>
  <si>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</si>
  <si>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</si>
  <si>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</si>
  <si>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</si>
  <si>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</si>
  <si>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</si>
  <si>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</si>
  <si>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</si>
  <si>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</si>
  <si>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</si>
  <si>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</si>
  <si>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</si>
  <si>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</si>
  <si>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</si>
  <si>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</si>
  <si>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</si>
  <si>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</si>
  <si>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</si>
  <si>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</si>
  <si>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</si>
  <si>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</si>
  <si>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</si>
  <si>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</si>
  <si>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</si>
  <si>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</si>
  <si>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</si>
  <si>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</si>
  <si>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</si>
  <si>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</si>
  <si>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</si>
  <si>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</si>
  <si>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</si>
  <si>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</si>
  <si>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</si>
  <si>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</si>
  <si>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</si>
  <si>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</si>
  <si>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</si>
  <si>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</si>
  <si>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</si>
  <si>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</si>
  <si>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</si>
  <si>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</si>
  <si>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</si>
  <si>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</si>
  <si>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</si>
  <si>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</si>
  <si>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</si>
  <si>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</si>
  <si>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</si>
  <si>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</si>
  <si>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</si>
  <si>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</si>
  <si>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</si>
  <si>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</si>
  <si>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</si>
  <si>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</si>
  <si>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</si>
  <si>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</si>
  <si>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</si>
  <si>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</si>
  <si>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</si>
  <si>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</si>
  <si>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</si>
  <si>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</si>
  <si>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</si>
  <si>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</si>
  <si>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</si>
  <si>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</si>
  <si>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</si>
  <si>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</si>
  <si>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</si>
  <si>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</si>
  <si>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</si>
  <si>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</si>
  <si>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</si>
  <si>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</si>
  <si>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</si>
  <si>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</si>
  <si>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</si>
  <si>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</si>
  <si>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</si>
  <si>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</si>
  <si>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</si>
  <si>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</si>
  <si>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</si>
  <si>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</si>
  <si>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</si>
  <si>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</si>
  <si>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</si>
  <si>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</si>
  <si>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</si>
  <si>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</si>
  <si>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</si>
  <si>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</si>
  <si>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</si>
  <si>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</si>
  <si>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</si>
  <si>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</si>
  <si>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</si>
  <si>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</si>
  <si>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</si>
  <si>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</si>
  <si>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</si>
  <si>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</si>
  <si>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</si>
  <si>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</si>
  <si>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</si>
  <si>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</si>
  <si>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</si>
  <si>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</si>
  <si>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</si>
  <si>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</si>
  <si>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</si>
  <si>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</si>
  <si>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</si>
  <si>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</si>
  <si>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</si>
  <si>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</si>
  <si>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</si>
  <si>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</si>
  <si>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</si>
  <si>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</si>
  <si>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</si>
  <si>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</si>
  <si>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</si>
  <si>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</si>
  <si>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</si>
  <si>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</si>
  <si>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</si>
  <si>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</si>
  <si>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</si>
  <si>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</si>
  <si>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</si>
  <si>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</si>
  <si>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</si>
  <si>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</si>
  <si>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</si>
  <si>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</si>
  <si>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</si>
  <si>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</si>
  <si>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</si>
  <si>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</si>
  <si>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</si>
  <si>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</si>
  <si>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</si>
  <si>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</si>
  <si>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</si>
  <si>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</si>
  <si>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</si>
  <si>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</si>
  <si>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</si>
  <si>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</si>
  <si>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</si>
  <si>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</si>
  <si>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</si>
  <si>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</si>
  <si>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</si>
  <si>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</si>
  <si>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</si>
  <si>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</si>
  <si>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</si>
  <si>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</si>
  <si>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</si>
  <si>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</si>
  <si>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</si>
  <si>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</si>
  <si>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</si>
  <si>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</si>
  <si>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</si>
  <si>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</si>
  <si>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</si>
  <si>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</si>
  <si>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</si>
  <si>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</si>
  <si>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</si>
  <si>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</si>
  <si>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</si>
  <si>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</si>
  <si>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</si>
  <si>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</si>
  <si>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</si>
  <si>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</si>
  <si>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</si>
  <si>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</si>
  <si>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</si>
  <si>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</si>
  <si>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</si>
  <si>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</si>
  <si>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</si>
  <si>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</si>
  <si>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</si>
  <si>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</si>
  <si>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</si>
  <si>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</si>
  <si>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</si>
  <si>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</si>
  <si>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</si>
  <si>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</si>
  <si>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</si>
  <si>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</si>
  <si>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</si>
  <si>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</si>
  <si>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</si>
  <si>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</si>
  <si>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</si>
  <si>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</si>
  <si>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</si>
  <si>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</si>
  <si>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</si>
  <si>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</si>
  <si>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</si>
  <si>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</si>
  <si>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</si>
  <si>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</si>
  <si>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</si>
  <si>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</si>
  <si>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</si>
  <si>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</si>
  <si>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</si>
  <si>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</si>
  <si>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</si>
  <si>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</si>
  <si>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</si>
  <si>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</si>
  <si>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</si>
  <si>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</si>
  <si>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</si>
  <si>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</si>
  <si>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</si>
  <si>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</si>
  <si>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</si>
  <si>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</si>
  <si>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</si>
  <si>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</si>
  <si>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</si>
  <si>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</si>
  <si>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</si>
  <si>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</si>
  <si>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</si>
  <si>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</si>
  <si>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</si>
  <si>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</si>
  <si>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</si>
  <si>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</si>
  <si>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</si>
  <si>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</si>
  <si>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</si>
  <si>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</si>
  <si>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</si>
  <si>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</si>
  <si>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</si>
  <si>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</si>
  <si>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</si>
  <si>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</si>
  <si>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</si>
  <si>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</si>
  <si>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</si>
  <si>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</si>
  <si>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</si>
  <si>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</si>
  <si>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</si>
  <si>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</si>
  <si>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</si>
  <si>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</si>
  <si>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</si>
  <si>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</si>
  <si>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</si>
  <si>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</si>
  <si>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</si>
  <si>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</si>
  <si>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</si>
  <si>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</si>
  <si>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</si>
  <si>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</si>
  <si>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</si>
  <si>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</si>
  <si>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</si>
  <si>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</si>
  <si>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</si>
  <si>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</si>
  <si>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</si>
  <si>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</si>
  <si>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</si>
  <si>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</si>
  <si>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</si>
  <si>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</si>
  <si>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</si>
  <si>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</si>
  <si>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</si>
  <si>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</si>
  <si>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</si>
  <si>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</si>
  <si>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</si>
  <si>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</si>
  <si>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</si>
  <si>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</si>
  <si>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</si>
  <si>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</si>
  <si>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</si>
  <si>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</si>
  <si>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</si>
  <si>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</si>
  <si>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</si>
  <si>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</si>
  <si>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</si>
  <si>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</si>
  <si>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</si>
  <si>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</si>
  <si>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</si>
  <si>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</si>
  <si>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</si>
  <si>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</si>
  <si>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</si>
  <si>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</si>
  <si>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</si>
  <si>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</si>
  <si>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</si>
  <si>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</si>
  <si>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</si>
  <si>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</si>
  <si>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</si>
  <si>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</si>
  <si>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</si>
  <si>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</si>
  <si>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</si>
  <si>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</si>
  <si>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</si>
  <si>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</si>
  <si>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</si>
  <si>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</si>
  <si>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</si>
  <si>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</si>
  <si>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</si>
  <si>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</si>
  <si>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</si>
  <si>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</si>
  <si>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</si>
  <si>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</si>
  <si>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</si>
  <si>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</si>
  <si>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</si>
  <si>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</si>
  <si>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</si>
  <si>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</si>
  <si>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</si>
  <si>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</si>
  <si>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</si>
  <si>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</si>
  <si>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</si>
  <si>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</si>
  <si>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</si>
  <si>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</si>
  <si>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</si>
  <si>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</si>
  <si>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</si>
  <si>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</si>
  <si>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</si>
  <si>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</si>
  <si>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</si>
  <si>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</si>
  <si>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</si>
  <si>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</si>
  <si>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</si>
  <si>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</si>
  <si>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</si>
  <si>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</si>
  <si>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</si>
  <si>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</si>
  <si>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</si>
  <si>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</si>
  <si>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</si>
  <si>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</si>
  <si>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</si>
  <si>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</si>
  <si>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</si>
  <si>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</si>
  <si>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</si>
  <si>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</si>
  <si>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</si>
  <si>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</si>
  <si>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</si>
  <si>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</si>
  <si>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</si>
  <si>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</si>
  <si>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</si>
  <si>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</si>
  <si>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</si>
  <si>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</si>
  <si>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</si>
  <si>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</si>
  <si>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</si>
  <si>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</si>
  <si>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</si>
  <si>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</si>
  <si>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</si>
  <si>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</si>
  <si>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</si>
  <si>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</si>
  <si>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</si>
  <si>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</si>
  <si>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</si>
  <si>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</si>
  <si>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</si>
  <si>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</si>
  <si>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</si>
  <si>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</si>
  <si>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</si>
  <si>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</si>
  <si>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</si>
  <si>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</si>
  <si>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</si>
  <si>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</si>
  <si>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</si>
  <si>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</si>
  <si>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</si>
  <si>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</si>
  <si>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</si>
  <si>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</si>
  <si>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</si>
  <si>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</si>
  <si>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</si>
  <si>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</si>
  <si>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</si>
  <si>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</si>
  <si>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</si>
  <si>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</si>
  <si>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</si>
  <si>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</si>
  <si>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</si>
  <si>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</si>
  <si>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</si>
  <si>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</si>
  <si>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</si>
  <si>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</si>
  <si>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</si>
  <si>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</si>
  <si>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</si>
  <si>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</si>
  <si>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</si>
  <si>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</si>
  <si>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</si>
  <si>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</si>
  <si>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</si>
  <si>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</si>
  <si>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</si>
  <si>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</si>
  <si>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</si>
  <si>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</si>
  <si>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</si>
  <si>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</si>
  <si>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</si>
  <si>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</si>
  <si>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</si>
  <si>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</si>
  <si>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</si>
  <si>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</si>
  <si>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</si>
  <si>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</si>
  <si>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</si>
  <si>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</si>
  <si>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</si>
  <si>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</si>
  <si>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</si>
  <si>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</si>
  <si>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</si>
  <si>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</si>
  <si>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</si>
  <si>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</si>
  <si>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</si>
  <si>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</si>
  <si>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</si>
  <si>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</si>
  <si>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</si>
  <si>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</si>
  <si>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</si>
  <si>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</si>
  <si>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</si>
  <si>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</si>
  <si>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</si>
  <si>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</si>
  <si>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</si>
  <si>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</si>
  <si>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</si>
  <si>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</si>
  <si>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</si>
  <si>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</si>
  <si>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</si>
  <si>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</si>
  <si>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</si>
  <si>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</si>
  <si>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</si>
  <si>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</si>
  <si>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</si>
  <si>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</si>
  <si>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</si>
  <si>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</si>
  <si>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</si>
  <si>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</si>
  <si>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</si>
  <si>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</si>
  <si>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</si>
  <si>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</si>
  <si>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</si>
  <si>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</si>
  <si>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</si>
  <si>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</si>
  <si>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</si>
  <si>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</si>
  <si>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</si>
  <si>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</si>
  <si>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</si>
  <si>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</si>
  <si>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</si>
  <si>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</si>
  <si>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</si>
  <si>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</si>
  <si>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</si>
  <si>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</si>
  <si>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</si>
  <si>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</si>
  <si>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</si>
  <si>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</si>
  <si>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</si>
  <si>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</si>
  <si>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</si>
  <si>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</si>
  <si>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</si>
  <si>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</si>
  <si>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</si>
  <si>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</si>
  <si>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</si>
  <si>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</si>
  <si>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</si>
  <si>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</si>
  <si>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</si>
  <si>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</si>
  <si>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</si>
  <si>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</si>
  <si>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</si>
  <si>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</si>
  <si>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</si>
  <si>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</si>
  <si>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</si>
  <si>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</si>
  <si>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</si>
  <si>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</si>
  <si>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</si>
  <si>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</si>
  <si>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</si>
  <si>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</si>
  <si>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</si>
  <si>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</si>
  <si>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</si>
  <si>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</si>
  <si>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</si>
  <si>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</si>
  <si>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</si>
  <si>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</si>
  <si>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</si>
  <si>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</si>
  <si>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</si>
  <si>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</si>
  <si>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</si>
  <si>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</si>
  <si>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</si>
  <si>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</si>
  <si>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</si>
  <si>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</si>
  <si>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</si>
  <si>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</si>
  <si>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</si>
  <si>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</si>
  <si>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</si>
  <si>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</si>
  <si>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</si>
  <si>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</si>
  <si>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</si>
  <si>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</si>
  <si>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</si>
  <si>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</si>
  <si>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</si>
  <si>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</si>
  <si>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</si>
  <si>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</si>
  <si>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</si>
  <si>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</si>
  <si>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</si>
  <si>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</si>
  <si>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</si>
  <si>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</si>
  <si>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</si>
  <si>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</si>
  <si>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</si>
  <si>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</si>
  <si>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</si>
  <si>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</si>
  <si>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</si>
  <si>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</si>
  <si>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</si>
  <si>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</si>
  <si>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</si>
  <si>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</si>
  <si>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</si>
  <si>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</si>
  <si>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</si>
  <si>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</si>
  <si>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</si>
  <si>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</si>
  <si>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</si>
  <si>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</si>
  <si>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</si>
  <si>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</si>
  <si>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</si>
  <si>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</si>
  <si>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</si>
  <si>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</si>
  <si>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</si>
  <si>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</si>
  <si>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</si>
  <si>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</si>
  <si>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</si>
  <si>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</si>
  <si>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</si>
  <si>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</si>
  <si>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</si>
  <si>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</si>
  <si>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</si>
  <si>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</si>
  <si>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</si>
  <si>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</si>
  <si>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</si>
  <si>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</si>
  <si>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</si>
  <si>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</si>
  <si>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</si>
  <si>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</si>
  <si>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</si>
  <si>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</si>
  <si>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</si>
  <si>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</si>
  <si>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</si>
  <si>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</si>
  <si>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</si>
  <si>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</si>
  <si>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</si>
  <si>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</si>
  <si>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</si>
  <si>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</si>
  <si>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</si>
  <si>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</si>
  <si>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</si>
  <si>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</si>
  <si>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</si>
  <si>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</si>
  <si>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</si>
  <si>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</si>
  <si>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</si>
  <si>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</si>
  <si>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</si>
  <si>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</si>
  <si>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</si>
  <si>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</si>
  <si>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</si>
  <si>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</si>
  <si>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</si>
  <si>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</si>
  <si>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</si>
  <si>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</si>
  <si>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</si>
  <si>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</si>
  <si>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</si>
  <si>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</si>
  <si>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</si>
  <si>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</si>
  <si>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</si>
  <si>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</si>
  <si>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</si>
  <si>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</si>
  <si>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</si>
  <si>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</si>
  <si>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</si>
  <si>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</si>
  <si>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</si>
  <si>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</si>
  <si>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</si>
  <si>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</si>
  <si>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</si>
  <si>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</si>
  <si>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</si>
  <si>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</si>
  <si>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</si>
  <si>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</si>
  <si>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</si>
  <si>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</si>
  <si>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</si>
  <si>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</si>
  <si>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</si>
  <si>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</si>
  <si>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</si>
  <si>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</si>
  <si>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</si>
  <si>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</si>
  <si>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</si>
  <si>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</si>
  <si>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</si>
  <si>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</si>
  <si>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</si>
  <si>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</si>
  <si>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</si>
  <si>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</si>
  <si>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</si>
  <si>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</si>
  <si>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</si>
  <si>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</si>
  <si>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</si>
  <si>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</si>
  <si>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</si>
  <si>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</si>
  <si>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</si>
  <si>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</si>
  <si>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</si>
  <si>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</si>
  <si>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</si>
  <si>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</si>
  <si>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</si>
  <si>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</si>
  <si>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</si>
  <si>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</si>
  <si>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</si>
  <si>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</si>
  <si>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</si>
  <si>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</si>
  <si>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</si>
  <si>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</si>
  <si>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</si>
  <si>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</si>
  <si>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</si>
  <si>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</si>
  <si>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</si>
  <si>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</si>
  <si>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</si>
  <si>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</si>
  <si>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</si>
  <si>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</si>
  <si>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</si>
  <si>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</si>
  <si>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</si>
  <si>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</si>
  <si>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</si>
  <si>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</si>
  <si>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</si>
  <si>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</si>
  <si>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</si>
  <si>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</si>
  <si>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</si>
  <si>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</si>
  <si>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</si>
  <si>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</si>
  <si>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</si>
  <si>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</si>
  <si>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</si>
  <si>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</si>
  <si>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</si>
  <si>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</si>
  <si>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</si>
  <si>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</si>
  <si>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</si>
  <si>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</si>
  <si>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</si>
  <si>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</si>
  <si>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</si>
  <si>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</si>
  <si>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</si>
  <si>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</si>
  <si>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</si>
  <si>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</si>
  <si>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</si>
  <si>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</si>
  <si>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</si>
  <si>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</si>
  <si>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</si>
  <si>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</si>
  <si>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</si>
  <si>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</si>
  <si>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</si>
  <si>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</si>
  <si>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</si>
  <si>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</si>
  <si>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</si>
  <si>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</si>
  <si>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</si>
  <si>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</si>
  <si>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</si>
  <si>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</si>
  <si>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</si>
  <si>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</si>
  <si>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</si>
  <si>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</si>
  <si>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</si>
  <si>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</si>
  <si>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</si>
  <si>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</si>
  <si>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</si>
  <si>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</si>
  <si>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</si>
  <si>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</si>
  <si>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</si>
  <si>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</si>
  <si>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</si>
  <si>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</si>
  <si>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</si>
  <si>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</si>
  <si>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</si>
  <si>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</si>
  <si>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</si>
  <si>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</si>
  <si>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</si>
  <si>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</si>
  <si>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</si>
  <si>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</si>
  <si>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</si>
  <si>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</si>
  <si>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</si>
  <si>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</si>
  <si>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</si>
  <si>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</si>
  <si>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</si>
  <si>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</si>
  <si>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</si>
  <si>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</si>
  <si>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</si>
  <si>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</si>
  <si>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</si>
  <si>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</si>
  <si>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</si>
  <si>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</si>
  <si>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</si>
  <si>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</si>
  <si>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</si>
  <si>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</si>
  <si>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</si>
  <si>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</si>
  <si>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</si>
  <si>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</si>
  <si>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</si>
  <si>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</si>
  <si>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</si>
  <si>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</si>
  <si>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</si>
  <si>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</si>
  <si>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</si>
  <si>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</si>
  <si>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</si>
  <si>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</si>
  <si>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</si>
  <si>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</si>
  <si>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</si>
  <si>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</si>
  <si>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</si>
  <si>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</si>
  <si>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</si>
  <si>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</si>
  <si>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</si>
  <si>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</si>
  <si>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</si>
  <si>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</si>
  <si>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</si>
  <si>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</si>
  <si>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</si>
  <si>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</si>
  <si>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</si>
  <si>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</si>
  <si>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</si>
  <si>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</si>
  <si>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</si>
  <si>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</si>
  <si>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</si>
  <si>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</si>
  <si>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</si>
  <si>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</si>
  <si>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</si>
  <si>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</si>
  <si>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</si>
  <si>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</si>
  <si>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</si>
  <si>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</si>
  <si>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</si>
  <si>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</si>
  <si>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</si>
  <si>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</si>
  <si>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</si>
  <si>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</si>
  <si>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</si>
  <si>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</si>
  <si>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</si>
  <si>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</si>
  <si>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</si>
  <si>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</si>
  <si>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</si>
  <si>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</si>
  <si>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</si>
  <si>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</si>
  <si>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</si>
  <si>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</si>
  <si>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</si>
  <si>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</si>
  <si>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</si>
  <si>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</si>
  <si>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</si>
  <si>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</si>
  <si>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</si>
  <si>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</si>
  <si>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</si>
  <si>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</si>
  <si>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</si>
  <si>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</si>
  <si>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</si>
  <si>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</si>
  <si>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</si>
  <si>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</si>
  <si>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</si>
  <si>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</si>
  <si>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</si>
  <si>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</si>
  <si>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</si>
  <si>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</si>
  <si>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</si>
  <si>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</si>
  <si>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</si>
  <si>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</si>
  <si>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</si>
  <si>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</si>
  <si>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</si>
  <si>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</si>
  <si>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</si>
  <si>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</si>
  <si>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</si>
  <si>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</si>
  <si>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</si>
  <si>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</si>
  <si>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</si>
  <si>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</si>
  <si>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</si>
  <si>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</si>
  <si>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</si>
  <si>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</si>
  <si>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</si>
  <si>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</si>
  <si>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</si>
  <si>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</si>
  <si>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</si>
  <si>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</si>
  <si>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</si>
  <si>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</si>
  <si>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</si>
  <si>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</si>
  <si>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</si>
  <si>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</si>
  <si>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</si>
  <si>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</si>
  <si>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</si>
  <si>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</si>
  <si>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</si>
  <si>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</si>
  <si>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</si>
  <si>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</si>
  <si>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</si>
  <si>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</si>
  <si>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</si>
  <si>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</si>
  <si>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</si>
  <si>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</si>
  <si>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</si>
  <si>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</si>
  <si>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</si>
  <si>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</si>
  <si>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</si>
  <si>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</si>
  <si>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</si>
  <si>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</si>
  <si>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</si>
  <si>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</si>
  <si>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</si>
  <si>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</si>
  <si>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</si>
  <si>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</si>
  <si>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</si>
  <si>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</si>
  <si>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</si>
  <si>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</si>
  <si>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</si>
  <si>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</si>
  <si>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</si>
  <si>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</si>
  <si>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</si>
  <si>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</si>
  <si>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</si>
  <si>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</si>
  <si>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</si>
  <si>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</si>
  <si>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</si>
  <si>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</si>
  <si>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</si>
  <si>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</si>
  <si>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</si>
  <si>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</si>
  <si>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</si>
  <si>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</si>
  <si>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</si>
  <si>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</si>
  <si>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</si>
  <si>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</si>
  <si>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</si>
  <si>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</si>
  <si>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</si>
  <si>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</si>
  <si>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</si>
  <si>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</si>
  <si>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</si>
  <si>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</si>
  <si>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</si>
  <si>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</si>
  <si>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</si>
  <si>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</si>
  <si>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</si>
  <si>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</si>
  <si>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</si>
  <si>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</si>
  <si>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</si>
  <si>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</si>
  <si>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</si>
  <si>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</si>
  <si>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</si>
  <si>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</si>
  <si>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</si>
  <si>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</si>
  <si>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</si>
  <si>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</si>
  <si>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</si>
  <si>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</si>
  <si>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</si>
  <si>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</si>
  <si>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</si>
  <si>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</si>
  <si>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</si>
  <si>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</si>
  <si>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</si>
  <si>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</si>
  <si>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</si>
  <si>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</si>
  <si>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</si>
  <si>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</si>
  <si>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</si>
  <si>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</si>
  <si>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</si>
  <si>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</si>
  <si>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</si>
  <si>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</si>
  <si>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</si>
  <si>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</si>
  <si>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</si>
  <si>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</si>
  <si>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</si>
  <si>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</si>
  <si>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</si>
  <si>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</si>
  <si>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</si>
  <si>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</si>
  <si>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</si>
  <si>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</si>
  <si>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</si>
  <si>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</si>
  <si>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</si>
  <si>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</si>
  <si>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</si>
  <si>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</si>
  <si>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</si>
  <si>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</si>
  <si>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</si>
  <si>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</si>
  <si>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</si>
  <si>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</si>
  <si>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</si>
  <si>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</si>
  <si>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</si>
  <si>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</si>
  <si>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</si>
  <si>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</si>
  <si>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</si>
  <si>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</si>
  <si>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</si>
  <si>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</si>
  <si>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</si>
  <si>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</si>
  <si>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</si>
  <si>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</si>
  <si>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</si>
  <si>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</si>
  <si>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</si>
  <si>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</si>
  <si>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</si>
  <si>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</si>
  <si>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</si>
  <si>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</si>
  <si>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</si>
  <si>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</si>
  <si>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</si>
  <si>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</si>
  <si>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</si>
  <si>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</si>
  <si>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</si>
  <si>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</si>
  <si>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</si>
  <si>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</si>
  <si>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</si>
  <si>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</si>
  <si>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</si>
  <si>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</si>
  <si>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</si>
  <si>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</si>
  <si>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</si>
  <si>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</si>
  <si>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</si>
  <si>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</si>
  <si>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</si>
  <si>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</si>
  <si>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</si>
  <si>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</si>
  <si>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</si>
  <si>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</si>
  <si>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</si>
  <si>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</si>
  <si>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</si>
  <si>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</si>
  <si>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</si>
  <si>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</si>
  <si>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</si>
  <si>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</si>
  <si>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</si>
  <si>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</si>
  <si>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</si>
  <si>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</si>
  <si>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</si>
  <si>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</si>
  <si>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</si>
  <si>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</si>
  <si>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</si>
  <si>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</si>
  <si>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</si>
  <si>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</si>
  <si>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</si>
  <si>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</si>
  <si>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</si>
  <si>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</si>
  <si>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</si>
  <si>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</si>
  <si>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</si>
  <si>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</si>
  <si>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</si>
  <si>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</si>
  <si>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</si>
  <si>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</si>
  <si>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</si>
  <si>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</si>
  <si>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</si>
  <si>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</si>
  <si>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</si>
  <si>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</si>
  <si>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</si>
  <si>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</si>
  <si>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</si>
  <si>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</si>
  <si>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</si>
  <si>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</si>
  <si>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</si>
  <si>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</si>
  <si>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</si>
  <si>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</si>
  <si>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</si>
  <si>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</si>
  <si>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</si>
  <si>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</si>
  <si>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</si>
  <si>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</si>
  <si>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</si>
  <si>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</si>
  <si>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</si>
  <si>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</si>
  <si>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</si>
  <si>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</si>
  <si>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</si>
  <si>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</si>
  <si>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</si>
  <si>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</si>
  <si>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</si>
  <si>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</si>
  <si>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</si>
  <si>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</si>
  <si>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</si>
  <si>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</si>
  <si>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</si>
  <si>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</si>
  <si>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</si>
  <si>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</si>
  <si>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</si>
  <si>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</si>
  <si>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</si>
  <si>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</si>
  <si>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</si>
  <si>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</si>
  <si>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</si>
  <si>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</si>
  <si>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</si>
  <si>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</si>
  <si>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</si>
  <si>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</si>
  <si>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</si>
  <si>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</si>
  <si>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</si>
  <si>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</si>
  <si>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</si>
  <si>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</si>
  <si>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</si>
  <si>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</si>
  <si>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</si>
  <si>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</si>
  <si>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</si>
  <si>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</si>
  <si>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</si>
  <si>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</si>
  <si>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</si>
  <si>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</si>
  <si>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</si>
  <si>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</si>
  <si>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</si>
  <si>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</si>
  <si>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</si>
  <si>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</si>
  <si>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</si>
  <si>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</si>
  <si>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</si>
  <si>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</si>
  <si>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</si>
  <si>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</si>
  <si>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</si>
  <si>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</si>
  <si>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</si>
  <si>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</si>
  <si>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</si>
  <si>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</si>
  <si>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</si>
  <si>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</si>
  <si>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</si>
  <si>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</si>
  <si>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</si>
  <si>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</si>
  <si>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</si>
  <si>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</si>
  <si>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</si>
  <si>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</si>
  <si>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</si>
  <si>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</si>
  <si>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</si>
  <si>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</si>
  <si>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</si>
  <si>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</si>
  <si>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</si>
  <si>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</si>
  <si>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</si>
  <si>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</si>
  <si>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</si>
  <si>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</si>
  <si>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</si>
  <si>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</si>
  <si>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</si>
  <si>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</si>
  <si>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</si>
  <si>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</si>
  <si>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</si>
  <si>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</si>
  <si>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</si>
  <si>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</si>
  <si>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</si>
  <si>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</si>
  <si>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</si>
  <si>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</si>
  <si>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</si>
  <si>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</si>
  <si>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</si>
  <si>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</si>
  <si>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</si>
  <si>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</si>
  <si>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</si>
  <si>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</si>
  <si>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</si>
  <si>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</si>
  <si>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</si>
  <si>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</si>
  <si>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</si>
  <si>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</si>
  <si>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</si>
  <si>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</si>
  <si>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</si>
  <si>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</si>
  <si>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</si>
  <si>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</si>
  <si>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</si>
  <si>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</si>
  <si>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</si>
  <si>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</si>
  <si>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</si>
  <si>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</si>
  <si>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</si>
  <si>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</si>
  <si>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</si>
  <si>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</si>
  <si>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</si>
  <si>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</si>
  <si>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</si>
  <si>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</si>
  <si>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</si>
  <si>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</si>
  <si>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</si>
  <si>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</si>
  <si>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</si>
  <si>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</si>
  <si>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</si>
  <si>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</si>
  <si>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</si>
  <si>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</si>
  <si>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</si>
  <si>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</si>
  <si>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</si>
  <si>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</si>
  <si>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</si>
  <si>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</si>
  <si>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</si>
  <si>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</si>
  <si>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</si>
  <si>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</si>
  <si>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</si>
  <si>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</si>
  <si>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</si>
  <si>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</si>
  <si>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</si>
  <si>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</si>
  <si>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</si>
  <si>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</si>
  <si>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</si>
  <si>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</si>
  <si>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</si>
  <si>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</si>
  <si>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</si>
  <si>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</si>
  <si>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</si>
  <si>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</si>
  <si>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</si>
  <si>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</si>
  <si>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</si>
  <si>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</si>
  <si>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</si>
  <si>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</si>
  <si>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</si>
  <si>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</si>
  <si>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</si>
  <si>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</si>
  <si>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</si>
  <si>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</si>
  <si>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</si>
  <si>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</si>
  <si>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</si>
  <si>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</si>
  <si>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</si>
  <si>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</si>
  <si>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</si>
  <si>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</si>
  <si>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</si>
  <si>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</si>
  <si>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</si>
  <si>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</si>
  <si>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</si>
  <si>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</si>
  <si>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</si>
  <si>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</si>
  <si>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</si>
  <si>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</si>
  <si>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</si>
  <si>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</si>
  <si>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</si>
  <si>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</si>
  <si>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</si>
  <si>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</si>
  <si>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</si>
  <si>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</si>
  <si>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</si>
  <si>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</si>
  <si>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</si>
  <si>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</si>
  <si>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</si>
  <si>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</si>
  <si>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</si>
  <si>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</si>
  <si>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</si>
  <si>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</si>
  <si>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</si>
  <si>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</si>
  <si>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</si>
  <si>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</si>
  <si>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</si>
  <si>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</si>
  <si>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</si>
  <si>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</si>
  <si>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</si>
  <si>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</si>
  <si>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</si>
  <si>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</si>
  <si>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</si>
  <si>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</si>
  <si>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</si>
  <si>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</si>
  <si>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</si>
  <si>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</si>
  <si>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</si>
  <si>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</si>
  <si>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</si>
  <si>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</si>
  <si>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</si>
  <si>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</si>
  <si>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</si>
  <si>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</si>
  <si>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</si>
  <si>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</si>
  <si>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</si>
  <si>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</si>
  <si>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</si>
  <si>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</si>
  <si>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</si>
  <si>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</si>
  <si>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</si>
  <si>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</si>
  <si>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</si>
  <si>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</si>
  <si>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</si>
  <si>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</si>
  <si>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</si>
  <si>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</si>
  <si>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</si>
  <si>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</si>
  <si>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</si>
  <si>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</si>
  <si>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</si>
  <si>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</si>
  <si>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</si>
  <si>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</si>
  <si>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</si>
  <si>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</si>
  <si>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</si>
  <si>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</si>
  <si>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</si>
  <si>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</si>
  <si>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</si>
  <si>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</si>
  <si>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</si>
  <si>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</si>
  <si>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</si>
  <si>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</si>
  <si>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</si>
  <si>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</si>
  <si>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</si>
  <si>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</si>
  <si>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</si>
  <si>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</si>
  <si>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</si>
  <si>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</si>
  <si>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</si>
  <si>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</si>
  <si>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</si>
  <si>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</si>
  <si>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</si>
  <si>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</si>
  <si>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</si>
  <si>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</si>
  <si>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</si>
  <si>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</si>
  <si>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</si>
  <si>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</si>
  <si>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</si>
  <si>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</si>
  <si>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</si>
  <si>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</si>
  <si>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</si>
  <si>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</si>
  <si>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</si>
  <si>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</si>
  <si>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</si>
  <si>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</si>
  <si>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</si>
  <si>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</si>
  <si>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</si>
  <si>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</si>
  <si>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</si>
  <si>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</si>
  <si>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</si>
  <si>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</si>
  <si>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</si>
  <si>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</si>
  <si>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</si>
  <si>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</si>
  <si>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</si>
  <si>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</si>
  <si>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</si>
  <si>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</si>
  <si>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</si>
  <si>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</si>
  <si>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</si>
  <si>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</si>
  <si>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</si>
  <si>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</si>
  <si>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</si>
  <si>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</si>
  <si>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</si>
  <si>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</si>
  <si>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</si>
  <si>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</si>
  <si>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</si>
  <si>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</si>
  <si>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</si>
  <si>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</si>
  <si>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</si>
  <si>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</si>
  <si>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</si>
  <si>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</si>
  <si>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</si>
  <si>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</si>
  <si>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</si>
  <si>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</si>
  <si>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</si>
  <si>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</si>
  <si>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</si>
  <si>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</si>
  <si>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</si>
  <si>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</si>
  <si>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</si>
  <si>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</si>
  <si>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</si>
  <si>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</si>
  <si>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</si>
  <si>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</si>
  <si>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</si>
  <si>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</si>
  <si>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</si>
  <si>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</si>
  <si>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</si>
  <si>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</si>
  <si>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</si>
  <si>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</si>
  <si>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</si>
  <si>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</si>
  <si>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</si>
  <si>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</si>
  <si>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</si>
  <si>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</si>
  <si>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</si>
  <si>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</si>
  <si>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</si>
  <si>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</si>
  <si>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</si>
  <si>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</si>
  <si>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</si>
  <si>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</si>
  <si>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</si>
  <si>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</si>
  <si>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</si>
  <si>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</si>
  <si>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</si>
  <si>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</si>
  <si>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</si>
  <si>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</si>
  <si>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</si>
  <si>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</si>
  <si>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</si>
  <si>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</si>
  <si>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</si>
  <si>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</si>
  <si>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</si>
  <si>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</si>
  <si>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</si>
  <si>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</si>
  <si>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</si>
  <si>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</si>
  <si>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</si>
  <si>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</si>
  <si>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</si>
  <si>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</si>
  <si>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</si>
  <si>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</si>
  <si>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</si>
  <si>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</si>
  <si>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</si>
  <si>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</si>
  <si>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</si>
  <si>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</si>
  <si>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</si>
  <si>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</si>
  <si>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</si>
  <si>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</si>
  <si>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</si>
  <si>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</si>
  <si>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</si>
  <si>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</si>
  <si>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</si>
  <si>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</si>
  <si>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</si>
  <si>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</si>
  <si>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</si>
  <si>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</si>
  <si>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</si>
  <si>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</si>
  <si>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</si>
  <si>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</si>
  <si>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</si>
  <si>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</si>
  <si>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</si>
  <si>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</si>
  <si>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</si>
  <si>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</si>
  <si>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</si>
  <si>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</si>
  <si>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</si>
  <si>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</si>
  <si>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</si>
  <si>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</si>
  <si>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</si>
  <si>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</si>
  <si>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</si>
  <si>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</si>
  <si>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</si>
  <si>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</si>
  <si>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</si>
  <si>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</si>
  <si>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</si>
  <si>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</si>
  <si>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</si>
  <si>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</si>
  <si>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</si>
  <si>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</si>
  <si>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</si>
  <si>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</si>
  <si>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</si>
  <si>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</si>
  <si>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</si>
  <si>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</si>
  <si>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</si>
  <si>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</si>
  <si>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</si>
  <si>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</si>
  <si>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</si>
  <si>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</si>
  <si>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</si>
  <si>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</si>
  <si>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</si>
  <si>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</si>
  <si>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</si>
  <si>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</si>
  <si>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</si>
  <si>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</si>
  <si>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</si>
  <si>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</si>
  <si>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</si>
  <si>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</si>
  <si>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</si>
  <si>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</si>
  <si>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</si>
  <si>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</si>
  <si>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</si>
  <si>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</si>
  <si>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</si>
  <si>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</si>
  <si>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</si>
  <si>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</si>
  <si>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</si>
  <si>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</si>
  <si>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</si>
  <si>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</si>
  <si>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</si>
  <si>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</si>
  <si>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</si>
  <si>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</si>
  <si>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</si>
  <si>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</si>
  <si>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</si>
  <si>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</si>
  <si>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</si>
  <si>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</si>
  <si>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</si>
  <si>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</si>
  <si>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</si>
  <si>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</si>
  <si>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</si>
  <si>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</si>
  <si>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</si>
  <si>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</si>
  <si>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</si>
  <si>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</si>
  <si>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</si>
  <si>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</si>
  <si>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</si>
  <si>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</si>
  <si>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</si>
  <si>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</si>
  <si>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</si>
  <si>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</si>
  <si>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</si>
  <si>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</si>
  <si>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</si>
  <si>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</si>
  <si>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</si>
  <si>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</si>
  <si>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</si>
  <si>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</si>
  <si>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</si>
  <si>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</si>
  <si>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</si>
  <si>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</si>
  <si>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</si>
  <si>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</si>
  <si>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</si>
  <si>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</si>
  <si>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</si>
  <si>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</si>
  <si>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</si>
  <si>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</si>
  <si>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</si>
  <si>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</si>
  <si>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</si>
  <si>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</si>
  <si>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</si>
  <si>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</si>
  <si>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</si>
  <si>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</si>
  <si>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</si>
  <si>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</si>
  <si>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</si>
  <si>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</si>
  <si>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</si>
  <si>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</si>
  <si>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</si>
  <si>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</si>
  <si>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</si>
  <si>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</si>
  <si>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</si>
  <si>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</si>
  <si>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</si>
  <si>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</si>
  <si>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</si>
  <si>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</si>
  <si>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</si>
  <si>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</si>
  <si>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</si>
  <si>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</si>
  <si>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</si>
  <si>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</si>
  <si>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</si>
  <si>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</si>
  <si>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</si>
  <si>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</si>
  <si>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</si>
  <si>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</si>
  <si>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</si>
  <si>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</si>
  <si>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</si>
  <si>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</si>
  <si>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</si>
  <si>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</si>
  <si>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</si>
  <si>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</si>
  <si>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</si>
  <si>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</si>
  <si>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</si>
  <si>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</si>
  <si>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</si>
  <si>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</si>
  <si>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</si>
  <si>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</si>
  <si>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</si>
  <si>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</si>
  <si>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</si>
  <si>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</si>
  <si>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</si>
  <si>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</si>
  <si>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</si>
  <si>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</si>
  <si>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</si>
  <si>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</si>
  <si>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</si>
  <si>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</si>
  <si>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</si>
  <si>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</si>
  <si>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</si>
  <si>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</si>
  <si>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</si>
  <si>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</si>
  <si>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</si>
  <si>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</si>
  <si>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</si>
  <si>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</si>
  <si>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</si>
  <si>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</si>
  <si>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</si>
  <si>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</si>
  <si>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</si>
  <si>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</si>
  <si>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</si>
  <si>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</si>
  <si>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</si>
  <si>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</si>
  <si>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</si>
  <si>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</si>
  <si>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</si>
  <si>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</si>
  <si>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</si>
  <si>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</si>
  <si>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</si>
  <si>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</si>
  <si>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</si>
  <si>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</si>
  <si>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</si>
  <si>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</si>
  <si>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</si>
  <si>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</si>
  <si>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</si>
  <si>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</si>
  <si>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</si>
  <si>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</si>
  <si>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</si>
  <si>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</si>
  <si>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</si>
  <si>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</si>
  <si>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</si>
  <si>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</si>
  <si>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</si>
  <si>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</si>
  <si>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</si>
  <si>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</si>
  <si>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</si>
  <si>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</si>
  <si>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</si>
  <si>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</si>
  <si>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</si>
  <si>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</si>
  <si>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</si>
  <si>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</si>
  <si>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</si>
  <si>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</si>
  <si>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</si>
  <si>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</si>
  <si>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</si>
  <si>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</si>
  <si>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</si>
  <si>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</si>
  <si>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</si>
  <si>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</si>
  <si>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</si>
  <si>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</si>
  <si>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</si>
  <si>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</si>
  <si>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</si>
  <si>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</si>
  <si>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</si>
  <si>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</si>
  <si>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</si>
  <si>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</si>
  <si>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</si>
  <si>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</si>
  <si>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</si>
  <si>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</si>
  <si>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</si>
  <si>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</si>
  <si>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</si>
  <si>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</si>
  <si>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</si>
  <si>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</si>
  <si>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</si>
  <si>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</si>
  <si>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</si>
  <si>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</si>
  <si>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</si>
  <si>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</si>
  <si>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</si>
  <si>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</si>
  <si>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</si>
  <si>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</si>
  <si>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</si>
  <si>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</si>
  <si>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</si>
  <si>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</si>
  <si>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</si>
  <si>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</si>
  <si>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</si>
  <si>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</si>
  <si>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</si>
  <si>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</si>
  <si>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</si>
  <si>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</si>
  <si>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</si>
  <si>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</si>
  <si>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</si>
  <si>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</si>
  <si>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</si>
  <si>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</si>
  <si>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</si>
  <si>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</si>
  <si>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</si>
  <si>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</si>
  <si>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</si>
  <si>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</si>
  <si>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</si>
  <si>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</si>
  <si>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</si>
  <si>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</si>
  <si>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</si>
  <si>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</si>
  <si>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</si>
  <si>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</si>
  <si>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</si>
  <si>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</si>
  <si>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</si>
  <si>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</si>
  <si>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</si>
  <si>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</si>
  <si>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</si>
  <si>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</si>
  <si>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</si>
  <si>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</si>
  <si>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</si>
  <si>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</si>
  <si>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</si>
  <si>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</si>
  <si>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</si>
  <si>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</si>
  <si>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</si>
  <si>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</si>
  <si>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</si>
  <si>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</si>
  <si>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</si>
  <si>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</si>
  <si>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</si>
  <si>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</si>
  <si>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</si>
  <si>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</si>
  <si>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</si>
  <si>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</si>
  <si>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</si>
  <si>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</si>
  <si>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</si>
  <si>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</si>
  <si>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</si>
  <si>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</si>
  <si>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</si>
  <si>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</si>
  <si>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</si>
  <si>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</si>
  <si>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</si>
  <si>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</si>
  <si>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</si>
  <si>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</si>
  <si>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</si>
  <si>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</si>
  <si>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</si>
  <si>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</si>
  <si>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</si>
  <si>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</si>
  <si>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</si>
  <si>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</si>
  <si>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</si>
  <si>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</si>
  <si>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</si>
  <si>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</si>
  <si>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</si>
  <si>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</si>
  <si>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</si>
  <si>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</si>
  <si>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</si>
  <si>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</si>
  <si>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</si>
  <si>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</si>
  <si>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</si>
  <si>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</si>
  <si>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</si>
  <si>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</si>
  <si>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</si>
  <si>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</si>
  <si>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</si>
  <si>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</si>
  <si>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</si>
  <si>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</si>
  <si>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</si>
  <si>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</si>
  <si>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</si>
  <si>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</si>
  <si>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</si>
  <si>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</si>
  <si>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</si>
  <si>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</si>
  <si>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</si>
  <si>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</si>
  <si>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</si>
  <si>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</si>
  <si>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</si>
  <si>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</si>
  <si>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</si>
  <si>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</si>
  <si>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</si>
  <si>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</si>
  <si>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</si>
  <si>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</si>
  <si>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</si>
  <si>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</si>
  <si>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</si>
  <si>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</si>
  <si>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</si>
  <si>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</si>
  <si>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</si>
  <si>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</si>
  <si>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</si>
  <si>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</si>
  <si>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</si>
  <si>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</si>
  <si>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</si>
  <si>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</si>
  <si>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</si>
  <si>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</si>
  <si>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</si>
  <si>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</si>
  <si>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</si>
  <si>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</si>
  <si>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</si>
  <si>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</si>
  <si>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</si>
  <si>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</si>
  <si>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</si>
  <si>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</si>
  <si>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</si>
  <si>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</si>
  <si>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</si>
  <si>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</si>
  <si>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</si>
  <si>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</si>
  <si>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</si>
  <si>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</si>
  <si>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</si>
  <si>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</si>
  <si>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</si>
  <si>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</si>
  <si>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</si>
  <si>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</si>
  <si>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</si>
  <si>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</si>
  <si>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</si>
  <si>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</si>
  <si>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</si>
  <si>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</si>
  <si>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</si>
  <si>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</si>
  <si>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</si>
  <si>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</si>
  <si>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</si>
  <si>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</si>
  <si>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</si>
  <si>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</si>
  <si>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</si>
  <si>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</si>
  <si>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</si>
  <si>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</si>
  <si>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</si>
  <si>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</si>
  <si>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</si>
  <si>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</si>
  <si>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</si>
  <si>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</si>
  <si>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</si>
  <si>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</si>
  <si>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</si>
  <si>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</si>
  <si>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</si>
  <si>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</si>
  <si>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</si>
  <si>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</si>
  <si>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</si>
  <si>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</si>
  <si>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</si>
  <si>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</si>
  <si>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</si>
  <si>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</si>
  <si>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</si>
  <si>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</si>
  <si>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</si>
  <si>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</si>
  <si>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</si>
  <si>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</si>
  <si>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</si>
  <si>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</si>
  <si>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</si>
  <si>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</si>
  <si>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</si>
  <si>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</si>
  <si>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</si>
  <si>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</si>
  <si>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</si>
  <si>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</si>
  <si>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</si>
  <si>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</si>
  <si>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</si>
  <si>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</si>
  <si>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</si>
  <si>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</si>
  <si>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</si>
  <si>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</si>
  <si>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</si>
  <si>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</si>
  <si>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</si>
  <si>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</si>
  <si>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</si>
  <si>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</si>
  <si>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</si>
  <si>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</si>
  <si>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</si>
  <si>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</si>
  <si>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</si>
  <si>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</si>
  <si>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</si>
  <si>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</si>
  <si>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</si>
  <si>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</si>
  <si>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</si>
  <si>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</si>
  <si>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</si>
  <si>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</si>
  <si>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</si>
  <si>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</si>
  <si>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</si>
  <si>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</si>
  <si>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</si>
  <si>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</si>
  <si>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</si>
  <si>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</si>
  <si>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</si>
  <si>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</si>
  <si>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</si>
  <si>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</si>
  <si>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</si>
  <si>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</si>
  <si>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</si>
  <si>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</si>
  <si>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</si>
  <si>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</si>
  <si>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</si>
  <si>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</si>
  <si>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</si>
  <si>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</si>
  <si>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</si>
  <si>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</si>
  <si>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</si>
  <si>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</si>
  <si>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</si>
  <si>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</si>
  <si>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</si>
  <si>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</si>
  <si>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</si>
  <si>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</si>
  <si>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</si>
  <si>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</si>
  <si>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</si>
  <si>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</si>
  <si>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</si>
  <si>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</si>
  <si>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</si>
  <si>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</si>
  <si>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</si>
  <si>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</si>
  <si>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</si>
  <si>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</si>
  <si>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</si>
  <si>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</si>
  <si>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</si>
  <si>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</si>
  <si>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</si>
  <si>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</si>
  <si>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</si>
  <si>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</si>
  <si>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</si>
  <si>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</si>
  <si>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</si>
  <si>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</si>
  <si>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</si>
  <si>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</si>
  <si>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</si>
  <si>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</si>
  <si>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</si>
  <si>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</si>
  <si>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</si>
  <si>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</si>
  <si>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</si>
  <si>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</si>
  <si>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</si>
  <si>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</si>
  <si>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</si>
  <si>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</si>
  <si>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</si>
  <si>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</si>
  <si>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</si>
  <si>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</si>
  <si>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</si>
  <si>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</si>
  <si>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</si>
  <si>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</si>
  <si>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</si>
  <si>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</si>
  <si>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</si>
  <si>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</si>
  <si>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</si>
  <si>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</si>
  <si>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</si>
  <si>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</si>
  <si>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</si>
  <si>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</si>
  <si>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</si>
  <si>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</si>
  <si>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</si>
  <si>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</si>
  <si>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</si>
  <si>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</si>
  <si>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</si>
  <si>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</si>
  <si>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</si>
  <si>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</si>
  <si>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</si>
  <si>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</si>
  <si>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</si>
  <si>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</si>
  <si>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</si>
  <si>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</si>
  <si>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</si>
  <si>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</si>
  <si>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</si>
  <si>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</si>
  <si>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</si>
  <si>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</si>
  <si>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</si>
  <si>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</si>
  <si>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</si>
  <si>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</si>
  <si>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</si>
  <si>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</si>
  <si>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</si>
  <si>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</si>
  <si>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</si>
  <si>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</si>
  <si>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</si>
  <si>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</si>
  <si>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</si>
  <si>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</si>
  <si>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</si>
  <si>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</si>
  <si>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</si>
  <si>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</si>
  <si>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</si>
  <si>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</si>
  <si>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</si>
  <si>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</si>
  <si>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</si>
  <si>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</si>
  <si>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</si>
  <si>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</si>
  <si>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</si>
  <si>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</si>
  <si>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</si>
  <si>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</si>
  <si>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</si>
  <si>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</si>
  <si>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</si>
  <si>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</si>
  <si>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</si>
  <si>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</si>
  <si>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</si>
  <si>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</si>
  <si>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</si>
  <si>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</si>
  <si>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</si>
  <si>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</si>
  <si>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</si>
  <si>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</si>
  <si>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</si>
  <si>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</si>
  <si>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</si>
  <si>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</si>
  <si>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</si>
  <si>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</si>
  <si>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</si>
  <si>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</si>
  <si>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</si>
  <si>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</si>
  <si>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</si>
  <si>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</si>
  <si>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</si>
  <si>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</si>
  <si>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</si>
  <si>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</si>
  <si>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</si>
  <si>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</si>
  <si>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</si>
  <si>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</si>
  <si>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</si>
  <si>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</si>
  <si>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</si>
  <si>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</si>
  <si>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</si>
  <si>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</si>
  <si>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</si>
  <si>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</si>
  <si>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</si>
  <si>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</si>
  <si>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</si>
  <si>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</si>
  <si>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</si>
  <si>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</si>
  <si>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</si>
  <si>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</si>
  <si>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</si>
  <si>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</si>
  <si>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</si>
  <si>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</si>
  <si>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</si>
  <si>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</si>
  <si>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</si>
  <si>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</si>
  <si>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</si>
  <si>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</si>
  <si>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</si>
  <si>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</si>
  <si>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</si>
  <si>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</si>
  <si>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</si>
  <si>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</si>
  <si>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</si>
  <si>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</si>
  <si>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</si>
  <si>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</si>
  <si>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</si>
  <si>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</si>
  <si>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</si>
  <si>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</si>
  <si>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</si>
  <si>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</si>
  <si>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</si>
  <si>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</si>
  <si>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</si>
  <si>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</si>
  <si>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</si>
  <si>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</si>
  <si>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</si>
  <si>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</si>
  <si>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</si>
  <si>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</si>
  <si>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</si>
  <si>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</si>
  <si>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</si>
  <si>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</si>
  <si>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</si>
  <si>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</si>
  <si>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</si>
  <si>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</si>
  <si>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</si>
  <si>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</si>
  <si>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</si>
  <si>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</si>
  <si>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</si>
  <si>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</si>
  <si>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</si>
  <si>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</si>
  <si>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</si>
  <si>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</si>
  <si>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</si>
  <si>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</si>
  <si>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</si>
  <si>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</si>
  <si>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</si>
  <si>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</si>
  <si>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</si>
  <si>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</si>
  <si>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</si>
  <si>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</si>
  <si>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</si>
  <si>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</si>
  <si>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</si>
  <si>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</si>
  <si>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</si>
  <si>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</si>
  <si>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</si>
  <si>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</si>
  <si>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</si>
  <si>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</si>
  <si>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</si>
  <si>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</si>
  <si>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</si>
  <si>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</si>
  <si>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</si>
  <si>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</si>
  <si>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</si>
  <si>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</si>
  <si>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</si>
  <si>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</si>
  <si>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</si>
  <si>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</si>
  <si>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</si>
  <si>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</si>
  <si>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</si>
  <si>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</si>
  <si>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</si>
  <si>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</si>
  <si>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</si>
  <si>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</si>
  <si>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</si>
  <si>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</si>
  <si>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</si>
  <si>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</si>
  <si>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</si>
  <si>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</si>
  <si>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</si>
  <si>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</si>
  <si>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</si>
  <si>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</si>
  <si>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</si>
  <si>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</si>
  <si>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</si>
  <si>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</si>
  <si>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</si>
  <si>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</si>
  <si>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</si>
  <si>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</si>
  <si>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</si>
  <si>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</si>
  <si>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</si>
  <si>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</si>
  <si>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</si>
  <si>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</si>
  <si>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</si>
  <si>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</si>
  <si>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</si>
  <si>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</si>
  <si>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</si>
  <si>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</si>
  <si>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</si>
  <si>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</si>
  <si>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</si>
  <si>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</si>
  <si>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</si>
  <si>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</si>
  <si>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</si>
  <si>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</si>
  <si>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</si>
  <si>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</si>
  <si>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</si>
  <si>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</si>
  <si>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</si>
  <si>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</si>
  <si>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</si>
  <si>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</si>
  <si>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</si>
  <si>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</si>
  <si>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</si>
  <si>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</si>
  <si>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</si>
  <si>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</si>
  <si>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</si>
  <si>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</si>
  <si>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</si>
  <si>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</si>
  <si>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</si>
  <si>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</si>
  <si>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</si>
  <si>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</si>
  <si>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</si>
  <si>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</si>
  <si>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</si>
  <si>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</si>
  <si>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</si>
  <si>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</si>
  <si>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</si>
  <si>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</si>
  <si>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</si>
  <si>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</si>
  <si>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</si>
  <si>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</si>
  <si>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</si>
  <si>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</si>
  <si>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</si>
  <si>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</si>
  <si>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</si>
  <si>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</si>
  <si>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</si>
  <si>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</si>
  <si>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</si>
  <si>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</si>
  <si>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</si>
  <si>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</si>
  <si>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</si>
  <si>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</si>
  <si>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</si>
  <si>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</si>
  <si>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</si>
  <si>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</si>
  <si>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</si>
  <si>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</si>
  <si>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</si>
  <si>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</si>
  <si>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</si>
  <si>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</si>
  <si>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</si>
  <si>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</si>
  <si>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</si>
  <si>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</si>
  <si>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</si>
  <si>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</si>
  <si>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</si>
  <si>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</si>
  <si>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</si>
  <si>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</si>
  <si>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</si>
  <si>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</si>
  <si>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</si>
  <si>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</si>
  <si>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</si>
  <si>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</si>
  <si>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</si>
  <si>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</si>
  <si>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</si>
  <si>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</si>
  <si>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</si>
  <si>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</si>
  <si>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</si>
  <si>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</si>
  <si>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</si>
  <si>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</si>
  <si>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</si>
  <si>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</si>
  <si>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</si>
  <si>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</si>
  <si>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</si>
  <si>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</si>
  <si>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</si>
  <si>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</si>
  <si>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</si>
  <si>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</si>
  <si>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</si>
  <si>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</si>
  <si>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</si>
  <si>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</si>
  <si>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</si>
  <si>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</si>
  <si>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</si>
  <si>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</si>
  <si>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</si>
  <si>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</si>
  <si>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</si>
  <si>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</si>
  <si>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</si>
  <si>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</si>
  <si>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</si>
  <si>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</si>
  <si>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</si>
  <si>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</si>
  <si>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</si>
  <si>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</si>
  <si>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</si>
  <si>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</si>
  <si>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</si>
  <si>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</si>
  <si>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</si>
  <si>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</si>
  <si>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</si>
  <si>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</si>
  <si>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</si>
  <si>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</si>
  <si>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</si>
  <si>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</si>
  <si>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</si>
  <si>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</si>
  <si>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</si>
  <si>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</si>
  <si>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</si>
  <si>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</si>
  <si>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</si>
  <si>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</si>
  <si>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</si>
  <si>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</si>
  <si>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</si>
  <si>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</si>
  <si>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</si>
  <si>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</si>
  <si>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</si>
  <si>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</si>
  <si>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</si>
  <si>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</si>
  <si>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</si>
  <si>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</si>
  <si>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</si>
  <si>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</si>
  <si>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</si>
  <si>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</si>
  <si>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</si>
  <si>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</si>
  <si>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</si>
  <si>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</si>
  <si>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</si>
  <si>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</si>
  <si>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</si>
  <si>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</si>
  <si>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</si>
  <si>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</si>
  <si>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</si>
  <si>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</si>
  <si>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</si>
  <si>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</si>
  <si>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</si>
  <si>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</si>
  <si>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</si>
  <si>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</si>
  <si>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</si>
  <si>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</si>
  <si>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</si>
  <si>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</si>
  <si>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</si>
  <si>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</si>
  <si>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</si>
  <si>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</si>
  <si>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</si>
  <si>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</si>
  <si>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</si>
  <si>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</si>
  <si>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</si>
  <si>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</si>
  <si>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</si>
  <si>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</si>
  <si>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</si>
  <si>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</si>
  <si>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</si>
  <si>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</si>
  <si>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</si>
  <si>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</si>
  <si>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</si>
  <si>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</si>
  <si>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</si>
  <si>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</si>
  <si>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</si>
  <si>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</si>
  <si>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</si>
  <si>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</si>
  <si>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</si>
  <si>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</si>
  <si>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</si>
  <si>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</si>
  <si>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</si>
  <si>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</si>
  <si>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</si>
  <si>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</si>
  <si>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</si>
  <si>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</si>
  <si>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</si>
  <si>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</si>
  <si>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</si>
  <si>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</si>
  <si>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</si>
  <si>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</si>
  <si>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</si>
  <si>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</si>
  <si>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</si>
  <si>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</si>
  <si>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</si>
  <si>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</si>
  <si>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</si>
  <si>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</si>
  <si>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</si>
  <si>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</si>
  <si>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</si>
  <si>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</si>
  <si>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</si>
  <si>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</si>
  <si>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</si>
  <si>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</si>
  <si>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</si>
  <si>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</si>
  <si>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</si>
  <si>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</si>
  <si>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</si>
  <si>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</si>
  <si>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</si>
  <si>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</si>
  <si>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</si>
  <si>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</si>
  <si>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</si>
  <si>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</si>
  <si>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</si>
  <si>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</si>
  <si>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</si>
  <si>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</si>
  <si>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</si>
  <si>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</si>
  <si>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</si>
  <si>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</si>
  <si>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</si>
  <si>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</si>
  <si>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</si>
  <si>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</si>
  <si>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</si>
  <si>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</si>
  <si>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</si>
  <si>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</si>
  <si>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</si>
  <si>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</si>
  <si>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</si>
  <si>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</si>
  <si>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</si>
  <si>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</si>
  <si>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</si>
  <si>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</si>
  <si>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</si>
  <si>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</si>
  <si>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</si>
  <si>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</si>
  <si>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</si>
  <si>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</si>
  <si>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</si>
  <si>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</si>
  <si>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</si>
  <si>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</si>
  <si>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</si>
  <si>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</si>
  <si>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</si>
  <si>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</si>
  <si>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</si>
  <si>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</si>
  <si>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</si>
  <si>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</si>
  <si>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</si>
  <si>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</si>
  <si>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</si>
  <si>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</si>
  <si>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</si>
  <si>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</si>
  <si>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</si>
  <si>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</si>
  <si>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</si>
  <si>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</si>
  <si>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</si>
  <si>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</si>
  <si>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</si>
  <si>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</si>
  <si>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</si>
  <si>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</si>
  <si>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</si>
  <si>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</si>
  <si>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</si>
  <si>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</si>
  <si>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</si>
  <si>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</si>
  <si>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</si>
  <si>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</si>
  <si>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</si>
  <si>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</si>
  <si>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</si>
  <si>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</si>
  <si>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</si>
  <si>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</si>
  <si>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</si>
  <si>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</si>
  <si>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</si>
  <si>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</si>
  <si>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</si>
  <si>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</si>
  <si>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</si>
  <si>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</si>
  <si>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</si>
  <si>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</si>
  <si>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</si>
  <si>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</si>
  <si>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</si>
  <si>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</si>
  <si>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</si>
  <si>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</si>
  <si>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</si>
  <si>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</si>
  <si>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</si>
  <si>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</si>
  <si>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</si>
  <si>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</si>
  <si>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</si>
  <si>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</si>
  <si>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</si>
  <si>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</si>
  <si>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</si>
  <si>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</si>
  <si>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</si>
  <si>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</si>
  <si>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</si>
  <si>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</si>
  <si>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</si>
  <si>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</si>
  <si>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</si>
  <si>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</si>
  <si>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</si>
  <si>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</si>
  <si>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</si>
  <si>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</si>
  <si>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</si>
  <si>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</si>
  <si>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</si>
  <si>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</si>
  <si>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</si>
  <si>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</si>
  <si>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</si>
  <si>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</si>
  <si>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</si>
  <si>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</si>
  <si>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</si>
  <si>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</si>
  <si>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</si>
  <si>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</si>
  <si>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</si>
  <si>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</si>
  <si>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</si>
  <si>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</si>
  <si>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</si>
  <si>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</si>
  <si>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</si>
  <si>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</si>
  <si>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</si>
  <si>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</si>
  <si>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</si>
  <si>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</si>
  <si>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</si>
  <si>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</si>
  <si>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</si>
  <si>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</si>
  <si>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</si>
  <si>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</si>
  <si>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</si>
  <si>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</si>
  <si>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</si>
  <si>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</si>
  <si>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</si>
  <si>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</si>
  <si>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</si>
  <si>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</si>
  <si>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</si>
  <si>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</si>
  <si>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</si>
  <si>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</si>
  <si>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</si>
  <si>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</si>
  <si>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</si>
  <si>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</si>
  <si>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</si>
  <si>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</si>
  <si>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</si>
  <si>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</si>
  <si>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</si>
  <si>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</si>
  <si>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</si>
  <si>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</si>
  <si>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</si>
  <si>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</si>
  <si>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</si>
  <si>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</si>
  <si>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</si>
  <si>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</si>
  <si>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</si>
  <si>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</si>
  <si>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</si>
  <si>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</si>
  <si>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</si>
  <si>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</si>
  <si>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</si>
  <si>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</si>
  <si>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</si>
  <si>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</si>
  <si>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</si>
  <si>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</si>
  <si>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</si>
  <si>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</si>
  <si>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</si>
  <si>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</si>
  <si>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</si>
  <si>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</si>
  <si>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</si>
  <si>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</si>
  <si>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</si>
  <si>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</si>
  <si>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</si>
  <si>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</si>
  <si>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</si>
  <si>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</si>
  <si>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</si>
  <si>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</si>
  <si>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</si>
  <si>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</si>
  <si>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</si>
  <si>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</si>
  <si>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</si>
  <si>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</si>
  <si>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</si>
  <si>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</si>
  <si>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</si>
  <si>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</si>
  <si>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</si>
  <si>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</si>
  <si>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</si>
  <si>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</si>
  <si>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</si>
  <si>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</si>
  <si>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</si>
  <si>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</si>
  <si>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</si>
  <si>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</si>
  <si>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</si>
  <si>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</si>
  <si>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</si>
  <si>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</si>
  <si>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</si>
  <si>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</si>
  <si>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</si>
  <si>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</si>
  <si>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</si>
  <si>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</si>
  <si>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</si>
  <si>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</si>
  <si>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</si>
  <si>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</si>
  <si>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</si>
  <si>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</si>
  <si>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</si>
  <si>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</si>
  <si>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</si>
  <si>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</si>
  <si>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</si>
  <si>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</si>
  <si>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</si>
  <si>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</si>
  <si>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</si>
  <si>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</si>
  <si>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</si>
  <si>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</si>
  <si>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</si>
  <si>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</si>
  <si>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</si>
  <si>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</si>
  <si>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</si>
  <si>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</si>
  <si>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</si>
  <si>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</si>
  <si>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</si>
  <si>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</si>
  <si>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</si>
  <si>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</si>
  <si>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</si>
  <si>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</si>
  <si>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</si>
  <si>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</si>
  <si>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</si>
  <si>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</si>
  <si>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</si>
  <si>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</si>
  <si>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</si>
  <si>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</si>
  <si>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</si>
  <si>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</si>
  <si>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</si>
  <si>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</si>
  <si>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</si>
  <si>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</si>
  <si>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</si>
  <si>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</si>
  <si>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</si>
  <si>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</si>
  <si>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</si>
  <si>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</si>
  <si>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</si>
  <si>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</si>
  <si>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</si>
  <si>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</si>
  <si>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</si>
  <si>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</si>
  <si>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</si>
  <si>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</si>
  <si>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</si>
  <si>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</si>
  <si>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</si>
  <si>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</si>
  <si>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</si>
  <si>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</si>
  <si>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</si>
  <si>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</si>
  <si>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</si>
  <si>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</si>
  <si>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</si>
  <si>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</si>
  <si>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</si>
  <si>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</si>
  <si>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</si>
  <si>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</si>
  <si>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</si>
  <si>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</si>
  <si>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</si>
  <si>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</si>
  <si>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</si>
  <si>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</si>
  <si>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</si>
  <si>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</si>
  <si>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</si>
  <si>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</si>
  <si>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</si>
  <si>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</si>
  <si>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</si>
  <si>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</si>
  <si>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</si>
  <si>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</si>
  <si>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</si>
  <si>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</si>
  <si>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</si>
  <si>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</si>
  <si>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</si>
  <si>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</si>
  <si>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</si>
  <si>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</si>
  <si>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</si>
  <si>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</si>
  <si>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</si>
  <si>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</si>
  <si>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</si>
  <si>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</si>
  <si>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</si>
  <si>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</si>
  <si>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</si>
  <si>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</si>
  <si>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</si>
  <si>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</si>
  <si>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</si>
  <si>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</si>
  <si>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</si>
  <si>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</si>
  <si>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</si>
  <si>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</si>
  <si>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</si>
  <si>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</si>
  <si>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</si>
  <si>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</si>
  <si>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</si>
  <si>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</si>
  <si>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</si>
  <si>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</si>
  <si>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</si>
  <si>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</si>
  <si>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</si>
  <si>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</si>
  <si>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</si>
  <si>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</si>
  <si>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</si>
  <si>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</si>
  <si>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</si>
  <si>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</si>
  <si>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</si>
  <si>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</si>
  <si>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</si>
  <si>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</si>
  <si>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</si>
  <si>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</si>
  <si>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</si>
  <si>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</si>
  <si>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</si>
  <si>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</si>
  <si>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</si>
  <si>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</si>
  <si>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</si>
  <si>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</si>
  <si>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</si>
  <si>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</si>
  <si>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</si>
  <si>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</si>
  <si>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</si>
  <si>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</si>
  <si>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</si>
  <si>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</si>
  <si>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</si>
  <si>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</si>
  <si>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</si>
  <si>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</si>
  <si>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</si>
  <si>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</si>
  <si>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</si>
  <si>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</si>
  <si>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</si>
  <si>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</si>
  <si>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</si>
  <si>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</si>
  <si>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</si>
  <si>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</si>
  <si>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</si>
  <si>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</si>
  <si>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</si>
  <si>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</si>
  <si>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</si>
  <si>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</si>
  <si>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</si>
  <si>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</si>
  <si>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</si>
  <si>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</si>
  <si>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</si>
  <si>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</si>
  <si>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</si>
  <si>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</si>
  <si>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</si>
  <si>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</si>
  <si>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</si>
  <si>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</si>
  <si>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</si>
  <si>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</si>
  <si>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</si>
  <si>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</si>
  <si>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</si>
  <si>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</si>
  <si>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</si>
  <si>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</si>
  <si>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</si>
  <si>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</si>
  <si>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</si>
  <si>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</si>
  <si>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</si>
  <si>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</si>
  <si>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</si>
  <si>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</si>
  <si>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</si>
  <si>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</si>
  <si>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</si>
  <si>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</si>
  <si>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</si>
  <si>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</si>
  <si>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</si>
  <si>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</si>
  <si>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</si>
  <si>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</si>
  <si>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</si>
  <si>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</si>
  <si>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</si>
  <si>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</si>
  <si>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</si>
  <si>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</si>
  <si>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</si>
  <si>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</si>
  <si>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</si>
  <si>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</si>
  <si>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</si>
  <si>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</si>
  <si>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</si>
  <si>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</si>
  <si>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</si>
  <si>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</si>
  <si>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</si>
  <si>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</si>
  <si>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</si>
  <si>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</si>
  <si>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</si>
  <si>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</si>
  <si>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</si>
  <si>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</si>
  <si>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</si>
  <si>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</si>
  <si>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</si>
  <si>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</si>
  <si>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</si>
  <si>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</si>
  <si>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</si>
  <si>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</si>
  <si>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</si>
  <si>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</si>
  <si>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</si>
  <si>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</si>
  <si>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</si>
  <si>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</si>
  <si>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</si>
  <si>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</si>
  <si>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</si>
  <si>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</si>
  <si>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</si>
  <si>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</si>
  <si>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</si>
  <si>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</si>
  <si>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</si>
  <si>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</si>
  <si>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</si>
  <si>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</si>
  <si>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</si>
  <si>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</si>
  <si>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</si>
  <si>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</si>
  <si>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</si>
  <si>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</si>
  <si>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</si>
  <si>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</si>
  <si>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</si>
  <si>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</si>
  <si>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</si>
  <si>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</si>
  <si>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</si>
  <si>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</si>
  <si>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</si>
  <si>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</si>
  <si>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</si>
  <si>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</si>
  <si>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</si>
  <si>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</si>
  <si>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</si>
  <si>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</si>
  <si>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</si>
  <si>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</si>
  <si>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</si>
  <si>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</si>
  <si>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</si>
  <si>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</si>
  <si>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</si>
  <si>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</si>
  <si>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</si>
  <si>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</si>
  <si>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</si>
  <si>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</si>
  <si>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</si>
  <si>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</si>
  <si>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</si>
  <si>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</si>
  <si>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</si>
  <si>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</si>
  <si>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</si>
  <si>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</si>
  <si>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</si>
  <si>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</si>
  <si>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</si>
  <si>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</si>
  <si>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</si>
  <si>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</si>
  <si>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</si>
  <si>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</si>
  <si>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</si>
  <si>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</si>
  <si>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</si>
  <si>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</si>
  <si>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</si>
  <si>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</si>
  <si>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</si>
  <si>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</si>
  <si>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</si>
  <si>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</si>
  <si>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</si>
  <si>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</si>
  <si>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</si>
  <si>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</si>
  <si>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</si>
  <si>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</si>
  <si>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</si>
  <si>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</si>
  <si>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</si>
  <si>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</si>
  <si>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</si>
  <si>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</si>
  <si>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</si>
  <si>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</si>
  <si>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</si>
  <si>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</si>
  <si>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</si>
  <si>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</si>
  <si>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</si>
  <si>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</si>
  <si>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</si>
  <si>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</si>
  <si>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</si>
  <si>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</si>
  <si>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</si>
  <si>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</si>
  <si>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</si>
  <si>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</si>
  <si>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</si>
  <si>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</si>
  <si>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</si>
  <si>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</si>
  <si>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</si>
  <si>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</si>
  <si>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</si>
  <si>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</si>
  <si>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</si>
  <si>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</si>
  <si>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</si>
  <si>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</si>
  <si>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</si>
  <si>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</si>
  <si>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</si>
  <si>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</si>
  <si>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</si>
  <si>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</si>
  <si>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</si>
  <si>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</si>
  <si>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</si>
  <si>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</si>
  <si>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</si>
  <si>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</si>
  <si>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</si>
  <si>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</si>
  <si>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</si>
  <si>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</si>
  <si>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</si>
  <si>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</si>
  <si>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</si>
  <si>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</si>
  <si>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</si>
  <si>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</si>
  <si>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</si>
  <si>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</si>
  <si>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</si>
  <si>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</si>
  <si>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</si>
  <si>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</si>
  <si>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</si>
  <si>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</si>
  <si>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</si>
  <si>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</si>
  <si>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</si>
  <si>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</si>
  <si>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</si>
  <si>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</si>
  <si>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</si>
  <si>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</si>
  <si>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</si>
  <si>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</si>
  <si>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</si>
  <si>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</si>
  <si>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</si>
  <si>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</si>
  <si>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</si>
  <si>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</si>
  <si>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</si>
  <si>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</si>
  <si>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</si>
  <si>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</si>
  <si>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</si>
  <si>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</si>
  <si>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</si>
  <si>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</si>
  <si>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</si>
  <si>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</si>
  <si>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</si>
  <si>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</si>
  <si>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</si>
  <si>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</si>
  <si>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</si>
  <si>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</si>
  <si>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</si>
  <si>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</si>
  <si>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</si>
  <si>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</si>
  <si>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</si>
  <si>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</si>
  <si>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</si>
  <si>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</si>
  <si>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</si>
  <si>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</si>
  <si>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</si>
  <si>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</si>
  <si>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</si>
  <si>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</si>
  <si>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</si>
  <si>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</si>
  <si>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</si>
  <si>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</si>
  <si>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</si>
  <si>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</si>
  <si>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</si>
  <si>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</si>
  <si>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</si>
  <si>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</si>
  <si>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</si>
  <si>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</si>
  <si>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</si>
  <si>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</si>
  <si>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</si>
  <si>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</si>
  <si>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</si>
  <si>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</si>
  <si>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</si>
  <si>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</si>
  <si>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</si>
  <si>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</si>
  <si>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</si>
  <si>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</si>
  <si>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</si>
  <si>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</si>
  <si>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</si>
  <si>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</si>
  <si>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</si>
  <si>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</si>
  <si>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</si>
  <si>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</si>
  <si>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</si>
  <si>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</si>
  <si>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</si>
  <si>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</si>
  <si>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</si>
  <si>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</si>
  <si>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</si>
  <si>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</si>
  <si>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</si>
  <si>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</si>
  <si>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</si>
  <si>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</si>
  <si>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</si>
  <si>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</si>
  <si>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</si>
  <si>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</si>
  <si>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</si>
  <si>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</si>
  <si>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</si>
  <si>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</si>
  <si>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</si>
  <si>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</si>
  <si>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</si>
  <si>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</si>
  <si>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</si>
  <si>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</si>
  <si>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</si>
  <si>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</si>
  <si>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</si>
  <si>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</si>
  <si>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</si>
  <si>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</si>
  <si>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</si>
  <si>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</si>
  <si>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</si>
  <si>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</si>
  <si>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</si>
  <si>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</si>
  <si>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</si>
  <si>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</si>
  <si>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</si>
  <si>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</si>
  <si>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</si>
  <si>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</si>
  <si>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</si>
  <si>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</si>
  <si>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</si>
  <si>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</si>
  <si>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</si>
  <si>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</si>
  <si>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</si>
  <si>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</si>
  <si>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</si>
  <si>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</si>
  <si>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</si>
  <si>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</si>
  <si>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</si>
  <si>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</si>
  <si>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</si>
  <si>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</si>
  <si>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</si>
  <si>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</si>
  <si>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</si>
  <si>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</si>
  <si>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</si>
  <si>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</si>
  <si>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</si>
  <si>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</si>
  <si>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</si>
  <si>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</si>
  <si>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</si>
  <si>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</si>
  <si>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</si>
  <si>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</si>
  <si>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</si>
  <si>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</si>
  <si>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</si>
  <si>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</si>
  <si>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</si>
  <si>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</si>
  <si>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</si>
  <si>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</si>
  <si>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</si>
  <si>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</si>
  <si>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</si>
  <si>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</si>
  <si>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</si>
  <si>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</si>
  <si>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</si>
  <si>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</si>
  <si>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</si>
  <si>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</si>
  <si>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</si>
  <si>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</si>
  <si>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</si>
  <si>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</si>
  <si>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</si>
  <si>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</si>
  <si>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</si>
  <si>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</si>
  <si>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</si>
  <si>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</si>
  <si>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</si>
  <si>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</si>
  <si>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</si>
  <si>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</si>
  <si>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</si>
  <si>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</si>
  <si>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</si>
  <si>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</si>
  <si>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</si>
  <si>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</si>
  <si>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</si>
  <si>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</si>
  <si>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</si>
  <si>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</si>
  <si>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</si>
  <si>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</si>
  <si>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</si>
  <si>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</si>
  <si>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</si>
  <si>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</si>
  <si>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</si>
  <si>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</si>
  <si>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</si>
  <si>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</si>
  <si>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</si>
  <si>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</si>
  <si>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</si>
  <si>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</si>
  <si>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</si>
  <si>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</si>
  <si>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</si>
  <si>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</si>
  <si>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</si>
  <si>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</si>
  <si>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</si>
  <si>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</si>
  <si>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</si>
  <si>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</si>
  <si>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</si>
  <si>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</si>
  <si>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</si>
  <si>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</si>
  <si>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</si>
  <si>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</si>
  <si>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</si>
  <si>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</si>
  <si>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</si>
  <si>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</si>
  <si>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</si>
  <si>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</si>
  <si>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</si>
  <si>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</si>
  <si>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</si>
  <si>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</si>
  <si>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</si>
  <si>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</si>
  <si>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</si>
  <si>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</si>
  <si>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</si>
  <si>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</si>
  <si>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</si>
  <si>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</si>
  <si>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</si>
  <si>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</si>
  <si>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</si>
  <si>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</si>
  <si>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</si>
  <si>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</si>
  <si>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</si>
  <si>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</si>
  <si>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</si>
  <si>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</si>
  <si>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</si>
  <si>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</si>
  <si>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</si>
  <si>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</si>
  <si>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</si>
  <si>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</si>
  <si>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</si>
  <si>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</si>
  <si>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</si>
  <si>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</si>
  <si>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</si>
  <si>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</si>
  <si>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</si>
  <si>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</si>
  <si>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</si>
  <si>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</si>
  <si>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</si>
  <si>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</si>
  <si>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</si>
  <si>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</si>
  <si>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</si>
  <si>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</si>
  <si>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</si>
  <si>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</si>
  <si>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</si>
  <si>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</si>
  <si>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</si>
  <si>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</si>
  <si>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</si>
  <si>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</si>
  <si>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</si>
  <si>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</si>
  <si>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</si>
  <si>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</si>
  <si>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</si>
  <si>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</si>
  <si>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</si>
  <si>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</si>
  <si>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</si>
  <si>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</si>
  <si>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</si>
  <si>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</si>
  <si>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</si>
  <si>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</si>
  <si>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</si>
  <si>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</si>
  <si>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</si>
  <si>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</si>
  <si>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</si>
  <si>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</si>
  <si>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</si>
  <si>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</si>
  <si>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</si>
  <si>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</si>
  <si>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</si>
  <si>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</si>
  <si>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</si>
  <si>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</si>
  <si>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</si>
  <si>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</si>
  <si>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</si>
  <si>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</si>
  <si>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</si>
  <si>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</si>
  <si>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</si>
  <si>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</si>
  <si>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</si>
  <si>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</si>
  <si>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</si>
  <si>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</si>
  <si>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</si>
  <si>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</si>
  <si>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</si>
  <si>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</si>
  <si>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</si>
  <si>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</si>
  <si>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</si>
  <si>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</si>
  <si>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</si>
  <si>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</si>
  <si>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</si>
  <si>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</si>
  <si>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</si>
  <si>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</si>
  <si>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</si>
  <si>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</si>
  <si>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</si>
  <si>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</si>
  <si>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</si>
  <si>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</si>
  <si>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</si>
  <si>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</si>
  <si>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</si>
  <si>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</si>
  <si>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</si>
  <si>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</si>
  <si>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</si>
  <si>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</si>
  <si>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</si>
  <si>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</si>
  <si>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</si>
  <si>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</si>
  <si>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</si>
  <si>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</si>
  <si>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</si>
  <si>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</si>
  <si>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</si>
  <si>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</si>
  <si>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</si>
  <si>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</si>
  <si>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</si>
  <si>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</si>
  <si>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</si>
  <si>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</si>
  <si>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</si>
  <si>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</si>
  <si>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</si>
  <si>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</si>
  <si>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</si>
  <si>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</si>
  <si>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</si>
  <si>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</si>
  <si>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</si>
  <si>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</si>
  <si>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</si>
  <si>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</si>
  <si>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</si>
  <si>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</si>
  <si>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</si>
  <si>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</si>
  <si>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</si>
  <si>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</si>
  <si>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</si>
  <si>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</si>
  <si>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</si>
  <si>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</si>
  <si>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</si>
  <si>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</si>
  <si>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</si>
  <si>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</si>
  <si>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</si>
  <si>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</si>
  <si>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</si>
  <si>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</si>
  <si>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</si>
  <si>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</si>
  <si>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</si>
  <si>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</si>
  <si>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</si>
  <si>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</si>
  <si>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</si>
  <si>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</si>
  <si>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</si>
  <si>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</si>
  <si>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</si>
  <si>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</si>
  <si>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</si>
  <si>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</si>
  <si>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</si>
  <si>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</si>
  <si>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</si>
  <si>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</si>
  <si>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</si>
  <si>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</si>
  <si>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</si>
  <si>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</si>
  <si>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</si>
  <si>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</si>
  <si>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</si>
  <si>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</si>
  <si>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</si>
  <si>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</si>
  <si>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</si>
  <si>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</si>
  <si>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</si>
  <si>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</si>
  <si>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</si>
  <si>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</si>
  <si>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</si>
  <si>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</si>
  <si>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</si>
  <si>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</si>
  <si>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</si>
  <si>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</si>
  <si>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</si>
  <si>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</si>
  <si>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</si>
  <si>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</si>
  <si>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</si>
  <si>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</si>
  <si>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</si>
  <si>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</si>
  <si>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</si>
  <si>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</si>
  <si>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</si>
  <si>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</si>
  <si>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</si>
  <si>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</si>
  <si>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</si>
  <si>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</si>
  <si>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</si>
  <si>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</si>
  <si>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</si>
  <si>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</si>
  <si>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</si>
  <si>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</si>
  <si>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</si>
  <si>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</si>
  <si>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</si>
  <si>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</si>
  <si>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</si>
  <si>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</si>
  <si>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</si>
  <si>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</si>
  <si>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</si>
  <si>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</si>
  <si>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</si>
  <si>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</si>
  <si>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</si>
  <si>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</si>
  <si>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</si>
  <si>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</si>
  <si>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</si>
  <si>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</si>
  <si>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</si>
  <si>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</si>
  <si>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</si>
  <si>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</si>
  <si>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</si>
  <si>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</si>
  <si>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</si>
  <si>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</si>
  <si>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</si>
  <si>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</si>
  <si>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</si>
  <si>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</si>
  <si>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</si>
  <si>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</si>
  <si>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</si>
  <si>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</si>
  <si>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</si>
  <si>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</si>
  <si>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</si>
  <si>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</si>
  <si>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</si>
  <si>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</si>
  <si>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</si>
  <si>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</si>
  <si>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</si>
  <si>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</si>
  <si>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</si>
  <si>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</si>
  <si>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</si>
  <si>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</si>
  <si>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</si>
  <si>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</si>
  <si>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</si>
  <si>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</si>
  <si>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</si>
  <si>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</si>
  <si>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</si>
  <si>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</si>
  <si>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</si>
  <si>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</si>
  <si>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</si>
  <si>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</si>
  <si>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</si>
  <si>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</si>
  <si>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</si>
  <si>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</si>
  <si>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</si>
  <si>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</si>
  <si>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</si>
  <si>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</si>
  <si>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</si>
  <si>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</si>
  <si>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</si>
  <si>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</si>
  <si>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</si>
  <si>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</si>
  <si>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</si>
  <si>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</si>
  <si>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</si>
  <si>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</si>
  <si>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</si>
  <si>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</si>
  <si>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</si>
  <si>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</si>
  <si>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</si>
  <si>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</si>
  <si>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</si>
  <si>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</si>
  <si>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</si>
  <si>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</si>
  <si>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</si>
  <si>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</si>
  <si>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</si>
  <si>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</si>
  <si>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</si>
  <si>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</si>
  <si>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</si>
  <si>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</si>
  <si>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</si>
  <si>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</si>
  <si>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</si>
  <si>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</si>
  <si>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</si>
  <si>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</si>
  <si>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</si>
  <si>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</si>
  <si>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</si>
  <si>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</si>
  <si>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</si>
  <si>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</si>
  <si>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</si>
  <si>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</si>
  <si>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</si>
  <si>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</si>
  <si>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</si>
  <si>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</si>
  <si>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</si>
  <si>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</si>
  <si>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</si>
  <si>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</si>
  <si>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</si>
  <si>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</si>
  <si>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</si>
  <si>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</si>
  <si>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</si>
  <si>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</si>
  <si>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</si>
  <si>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</si>
  <si>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</si>
  <si>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</si>
  <si>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</si>
  <si>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</si>
  <si>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</si>
  <si>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</si>
  <si>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</si>
  <si>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</si>
  <si>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</si>
  <si>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</si>
  <si>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</si>
  <si>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</si>
  <si>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</si>
  <si>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</si>
  <si>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</si>
  <si>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</si>
  <si>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</si>
  <si>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</si>
  <si>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</si>
  <si>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</si>
  <si>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</si>
  <si>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</si>
  <si>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</si>
  <si>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</si>
  <si>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</si>
  <si>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</si>
  <si>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</si>
  <si>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</si>
  <si>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</si>
  <si>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</si>
  <si>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</si>
  <si>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</si>
  <si>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</si>
  <si>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</si>
  <si>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</si>
  <si>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</si>
  <si>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</si>
  <si>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</si>
  <si>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</si>
  <si>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</si>
  <si>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</si>
  <si>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</si>
  <si>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</si>
  <si>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</si>
  <si>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</si>
  <si>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</si>
  <si>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</si>
  <si>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</si>
  <si>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</si>
  <si>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</si>
  <si>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</si>
  <si>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</si>
  <si>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</si>
  <si>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</si>
  <si>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</si>
  <si>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</si>
  <si>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</si>
  <si>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</si>
  <si>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</si>
  <si>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</si>
  <si>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</si>
  <si>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</si>
  <si>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</si>
  <si>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</si>
  <si>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</si>
  <si>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</si>
  <si>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</si>
  <si>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</si>
  <si>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</si>
  <si>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</si>
  <si>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</si>
  <si>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</si>
  <si>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</si>
  <si>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</si>
  <si>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</si>
  <si>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</si>
  <si>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</si>
  <si>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</si>
  <si>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</si>
  <si>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</si>
  <si>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</si>
  <si>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</si>
  <si>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</si>
  <si>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</si>
  <si>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</si>
  <si>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</si>
  <si>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</si>
  <si>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</si>
  <si>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</si>
  <si>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</si>
  <si>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</si>
  <si>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</si>
  <si>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</si>
  <si>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</si>
  <si>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</si>
  <si>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</si>
  <si>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</si>
  <si>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</si>
  <si>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</si>
  <si>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</si>
  <si>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</si>
  <si>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</si>
  <si>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</si>
  <si>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</si>
  <si>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</si>
  <si>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</si>
  <si>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</si>
  <si>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</si>
  <si>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</si>
  <si>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</si>
  <si>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</si>
  <si>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</si>
  <si>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</si>
  <si>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</si>
  <si>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</si>
  <si>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</si>
  <si>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</si>
  <si>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</si>
  <si>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</si>
  <si>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</si>
  <si>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</si>
  <si>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</si>
  <si>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</si>
  <si>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</si>
  <si>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</si>
  <si>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</si>
  <si>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</si>
  <si>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</si>
  <si>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</si>
  <si>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</si>
  <si>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</si>
  <si>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</si>
  <si>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</si>
  <si>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</si>
  <si>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</si>
  <si>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</si>
  <si>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</si>
  <si>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</si>
  <si>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</si>
  <si>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</si>
  <si>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</si>
  <si>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</si>
  <si>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</si>
  <si>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</si>
  <si>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</si>
  <si>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</si>
  <si>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</si>
  <si>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</si>
  <si>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</si>
  <si>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</si>
  <si>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</si>
  <si>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</si>
  <si>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</si>
  <si>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</si>
  <si>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</si>
  <si>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</si>
  <si>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</si>
  <si>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</si>
  <si>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</si>
  <si>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</si>
  <si>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</si>
  <si>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</si>
  <si>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</si>
  <si>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</si>
  <si>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</si>
  <si>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</si>
  <si>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</si>
  <si>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</si>
  <si>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</si>
  <si>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</si>
  <si>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</si>
  <si>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</si>
  <si>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</si>
  <si>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</si>
  <si>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</si>
  <si>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</si>
  <si>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</si>
  <si>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</si>
  <si>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</si>
  <si>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</si>
  <si>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</si>
  <si>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</si>
  <si>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</si>
  <si>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</si>
  <si>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</si>
  <si>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</si>
  <si>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</si>
  <si>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</si>
  <si>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</si>
  <si>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</si>
  <si>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</si>
  <si>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</si>
  <si>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</si>
  <si>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</si>
  <si>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</si>
  <si>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</si>
  <si>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</si>
  <si>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</si>
  <si>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</si>
  <si>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</si>
  <si>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</si>
  <si>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</si>
  <si>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</si>
  <si>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</si>
  <si>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</si>
  <si>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</si>
  <si>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</si>
  <si>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</si>
  <si>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</si>
  <si>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</si>
  <si>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</si>
  <si>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</si>
  <si>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</si>
  <si>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</si>
  <si>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</si>
  <si>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</si>
  <si>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</si>
  <si>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</si>
  <si>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</si>
  <si>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</si>
  <si>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</si>
  <si>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</si>
  <si>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</si>
  <si>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</si>
  <si>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</si>
  <si>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</si>
  <si>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</si>
  <si>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</si>
  <si>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</si>
  <si>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</si>
  <si>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</si>
  <si>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</si>
  <si>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</si>
  <si>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</si>
  <si>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</si>
  <si>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</si>
  <si>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</si>
  <si>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</si>
  <si>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</si>
  <si>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</si>
  <si>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</si>
  <si>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</si>
  <si>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</si>
  <si>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</si>
  <si>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</si>
  <si>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</si>
  <si>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</si>
  <si>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</si>
  <si>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</si>
  <si>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</si>
  <si>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</si>
  <si>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</si>
  <si>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</si>
  <si>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</si>
  <si>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</si>
  <si>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</si>
  <si>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</si>
  <si>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</si>
  <si>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</si>
  <si>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</si>
  <si>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</si>
  <si>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</si>
  <si>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</si>
  <si>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</si>
  <si>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</si>
  <si>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</si>
  <si>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</si>
  <si>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</si>
  <si>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</si>
  <si>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</si>
  <si>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</si>
  <si>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</si>
  <si>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</si>
  <si>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</si>
  <si>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</si>
  <si>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</si>
  <si>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</si>
  <si>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</si>
  <si>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</si>
  <si>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</si>
  <si>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</si>
  <si>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</si>
  <si>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</si>
  <si>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</si>
  <si>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</si>
  <si>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</si>
  <si>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</si>
  <si>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</si>
  <si>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</si>
  <si>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</si>
  <si>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</si>
  <si>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</si>
  <si>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</si>
  <si>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</si>
  <si>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</si>
  <si>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</si>
  <si>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</si>
  <si>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</si>
  <si>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</si>
  <si>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</si>
  <si>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</si>
  <si>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</si>
  <si>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</si>
  <si>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</si>
  <si>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</si>
  <si>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</si>
  <si>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</si>
  <si>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</si>
  <si>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</si>
  <si>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</si>
  <si>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</si>
  <si>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</si>
  <si>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</si>
  <si>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</si>
  <si>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</si>
  <si>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</si>
  <si>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</si>
  <si>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</si>
  <si>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</si>
  <si>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</si>
  <si>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</si>
  <si>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</si>
  <si>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</si>
  <si>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</si>
  <si>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</si>
  <si>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</si>
  <si>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</si>
  <si>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</si>
  <si>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</si>
  <si>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</si>
  <si>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</si>
  <si>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</si>
  <si>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</si>
  <si>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</si>
  <si>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</si>
  <si>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</si>
  <si>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</si>
  <si>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</si>
  <si>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</si>
  <si>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</si>
  <si>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</si>
  <si>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</si>
  <si>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</si>
  <si>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</si>
  <si>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</si>
  <si>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</si>
  <si>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</si>
  <si>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</si>
  <si>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</si>
  <si>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</si>
  <si>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</si>
  <si>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</si>
  <si>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</si>
  <si>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</si>
  <si>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</si>
  <si>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</si>
  <si>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</si>
  <si>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</si>
  <si>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</si>
  <si>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</si>
  <si>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</si>
  <si>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</si>
  <si>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</si>
  <si>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</si>
  <si>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</si>
  <si>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</si>
  <si>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</si>
  <si>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</si>
  <si>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</si>
  <si>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</si>
  <si>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</si>
  <si>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</si>
  <si>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</si>
  <si>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</si>
  <si>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</si>
  <si>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</si>
  <si>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</si>
  <si>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</si>
  <si>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</si>
  <si>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</si>
  <si>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</si>
  <si>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</si>
  <si>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</si>
  <si>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</si>
  <si>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</si>
  <si>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</si>
  <si>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</si>
  <si>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</si>
  <si>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</si>
  <si>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</si>
  <si>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</si>
  <si>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</si>
  <si>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</si>
  <si>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</si>
  <si>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</si>
  <si>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</si>
  <si>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</si>
  <si>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</si>
  <si>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</si>
  <si>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</si>
  <si>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</si>
  <si>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</si>
  <si>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</si>
  <si>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</si>
  <si>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</si>
  <si>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</si>
  <si>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</si>
  <si>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</si>
  <si>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</si>
  <si>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</si>
  <si>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</si>
  <si>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</si>
  <si>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</si>
  <si>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</si>
  <si>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</si>
  <si>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</si>
  <si>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</si>
  <si>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</si>
  <si>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</si>
  <si>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</si>
  <si>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</si>
  <si>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</si>
  <si>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</si>
  <si>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</si>
  <si>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</si>
  <si>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</si>
  <si>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</si>
  <si>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</si>
  <si>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</si>
  <si>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</si>
  <si>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</si>
  <si>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</si>
  <si>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</si>
  <si>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</si>
  <si>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</si>
  <si>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</si>
  <si>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</si>
  <si>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</si>
  <si>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</si>
  <si>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</si>
  <si>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</si>
  <si>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</si>
  <si>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</si>
  <si>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</si>
  <si>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</si>
  <si>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</si>
  <si>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</si>
  <si>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</si>
  <si>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</si>
  <si>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</si>
  <si>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</si>
  <si>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</si>
  <si>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</si>
  <si>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</si>
  <si>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</si>
  <si>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</si>
  <si>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</si>
  <si>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</si>
  <si>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</si>
  <si>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</si>
  <si>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</si>
  <si>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</si>
  <si>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</si>
  <si>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</si>
  <si>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</si>
  <si>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</si>
  <si>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</si>
  <si>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</si>
  <si>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</si>
  <si>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</si>
  <si>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</si>
  <si>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</si>
  <si>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</si>
  <si>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</si>
  <si>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</si>
  <si>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</si>
  <si>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</si>
  <si>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</si>
  <si>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</si>
  <si>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</si>
  <si>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</si>
  <si>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</si>
  <si>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</si>
  <si>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</si>
  <si>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</si>
  <si>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</si>
  <si>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</si>
  <si>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</si>
  <si>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</si>
  <si>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</si>
  <si>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</si>
  <si>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</si>
  <si>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</si>
  <si>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</si>
  <si>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</si>
  <si>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</si>
  <si>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</si>
  <si>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</si>
  <si>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</si>
  <si>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</si>
  <si>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</si>
  <si>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</si>
  <si>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</si>
  <si>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</si>
  <si>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</si>
  <si>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</si>
  <si>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</si>
  <si>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</si>
  <si>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</si>
  <si>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</si>
  <si>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</si>
  <si>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</si>
  <si>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</si>
  <si>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</si>
  <si>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</si>
  <si>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</si>
  <si>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</si>
  <si>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</si>
  <si>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</si>
  <si>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</si>
  <si>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</si>
  <si>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</si>
  <si>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</si>
  <si>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</si>
  <si>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</si>
  <si>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</si>
  <si>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</si>
  <si>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</si>
  <si>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</si>
  <si>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</si>
  <si>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</si>
  <si>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</si>
  <si>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</si>
  <si>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</si>
  <si>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</si>
  <si>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</si>
  <si>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</si>
  <si>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</si>
  <si>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</si>
  <si>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</si>
  <si>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</si>
  <si>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</si>
  <si>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</si>
  <si>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</si>
  <si>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</si>
  <si>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</si>
  <si>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</si>
  <si>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</si>
  <si>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</si>
  <si>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</si>
  <si>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</si>
  <si>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</si>
  <si>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</si>
  <si>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</si>
  <si>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</si>
  <si>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</si>
  <si>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</si>
  <si>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</si>
  <si>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</si>
  <si>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</si>
  <si>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</si>
  <si>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</si>
  <si>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</si>
  <si>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</si>
  <si>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</si>
  <si>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</si>
  <si>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</si>
  <si>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</si>
  <si>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</si>
  <si>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</si>
  <si>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</si>
  <si>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</si>
  <si>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</si>
  <si>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</si>
  <si>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</si>
  <si>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</si>
  <si>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</si>
  <si>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</si>
  <si>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</si>
  <si>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</si>
  <si>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</si>
  <si>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</si>
  <si>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</si>
  <si>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</si>
  <si>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</si>
  <si>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</si>
  <si>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</si>
  <si>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</si>
  <si>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</si>
  <si>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</si>
  <si>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</si>
  <si>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</si>
  <si>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</si>
  <si>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</si>
  <si>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</si>
  <si>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</si>
  <si>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</si>
  <si>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</si>
  <si>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</si>
  <si>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</si>
  <si>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</si>
  <si>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</si>
  <si>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</si>
  <si>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</si>
  <si>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</si>
  <si>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</si>
  <si>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</si>
  <si>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</si>
  <si>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</si>
  <si>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</si>
  <si>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</si>
  <si>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</si>
  <si>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</si>
  <si>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</si>
  <si>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</si>
  <si>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</si>
  <si>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</si>
  <si>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</si>
  <si>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</si>
  <si>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</si>
  <si>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</si>
  <si>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</si>
  <si>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</si>
  <si>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</si>
  <si>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</si>
  <si>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</si>
  <si>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</si>
  <si>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</si>
  <si>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</si>
  <si>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</si>
  <si>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</si>
  <si>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</si>
  <si>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</si>
  <si>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</si>
  <si>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</si>
  <si>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</si>
  <si>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</si>
  <si>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</si>
  <si>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</si>
  <si>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</si>
  <si>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</si>
  <si>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</si>
  <si>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</si>
  <si>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</si>
  <si>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</si>
  <si>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</si>
  <si>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</si>
  <si>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</si>
  <si>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</si>
  <si>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</si>
  <si>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</si>
  <si>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</si>
  <si>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</si>
  <si>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</si>
  <si>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</si>
  <si>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</si>
  <si>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</si>
  <si>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</si>
  <si>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</si>
  <si>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</si>
  <si>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</si>
  <si>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</si>
  <si>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</si>
  <si>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</si>
  <si>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</si>
  <si>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</si>
  <si>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</si>
  <si>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</si>
  <si>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</si>
  <si>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</si>
  <si>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</si>
  <si>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</si>
  <si>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</si>
  <si>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</si>
  <si>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</si>
  <si>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</si>
  <si>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</si>
  <si>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</si>
  <si>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</si>
  <si>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</si>
  <si>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</si>
  <si>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</si>
  <si>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</si>
  <si>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</si>
  <si>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</si>
  <si>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</si>
  <si>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</si>
  <si>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</si>
  <si>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</si>
  <si>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</si>
  <si>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</si>
  <si>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</si>
  <si>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</si>
  <si>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</si>
  <si>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</si>
  <si>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</si>
  <si>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</si>
  <si>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</si>
  <si>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</si>
  <si>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</si>
  <si>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</si>
  <si>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</si>
  <si>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</si>
  <si>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</si>
  <si>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</si>
  <si>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</si>
  <si>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</si>
  <si>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</si>
  <si>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</si>
  <si>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</si>
  <si>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</si>
  <si>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</si>
  <si>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</si>
  <si>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</si>
  <si>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</si>
  <si>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</si>
  <si>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</si>
  <si>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</si>
  <si>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</si>
  <si>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</si>
  <si>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</si>
  <si>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</si>
  <si>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</si>
  <si>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</si>
  <si>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</si>
  <si>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</si>
  <si>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</si>
  <si>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</si>
  <si>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</si>
  <si>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</si>
  <si>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</si>
  <si>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</si>
  <si>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</si>
  <si>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</si>
  <si>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</si>
  <si>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</si>
  <si>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</si>
  <si>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</si>
  <si>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</si>
  <si>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</si>
  <si>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</si>
  <si>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</si>
  <si>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</si>
  <si>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</si>
  <si>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</si>
  <si>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</si>
  <si>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</si>
  <si>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</si>
  <si>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</si>
  <si>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</si>
  <si>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</si>
  <si>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</si>
  <si>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</si>
  <si>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</si>
  <si>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</si>
  <si>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</si>
  <si>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</si>
  <si>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</si>
  <si>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</si>
  <si>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</si>
  <si>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</si>
  <si>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</si>
  <si>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</si>
  <si>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</si>
  <si>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</si>
  <si>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</si>
  <si>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</si>
  <si>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</si>
  <si>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</si>
  <si>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</si>
  <si>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</si>
  <si>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</si>
  <si>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</si>
  <si>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</si>
  <si>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</si>
  <si>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</si>
  <si>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</si>
  <si>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</si>
  <si>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</si>
  <si>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</si>
  <si>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</si>
  <si>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</si>
  <si>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</si>
  <si>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</si>
  <si>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</si>
  <si>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</si>
  <si>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</si>
  <si>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</si>
  <si>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</si>
  <si>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</si>
  <si>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</si>
  <si>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</si>
  <si>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</si>
  <si>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</si>
  <si>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</si>
  <si>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</si>
  <si>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</si>
  <si>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</si>
  <si>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</si>
  <si>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</si>
  <si>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</si>
  <si>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</si>
  <si>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</si>
  <si>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</si>
  <si>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</si>
  <si>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</si>
  <si>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</si>
  <si>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</si>
  <si>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</si>
  <si>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</si>
  <si>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</si>
  <si>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</si>
  <si>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</si>
  <si>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</si>
  <si>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</si>
  <si>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</si>
  <si>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</si>
  <si>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</si>
  <si>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</si>
  <si>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</si>
  <si>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</si>
  <si>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</si>
  <si>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</si>
  <si>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</si>
  <si>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</si>
  <si>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</si>
  <si>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</si>
  <si>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</si>
  <si>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</si>
  <si>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</si>
  <si>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</si>
  <si>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</si>
  <si>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</si>
  <si>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</si>
  <si>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</si>
  <si>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</si>
  <si>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</si>
  <si>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</si>
  <si>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</si>
  <si>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</si>
  <si>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</si>
  <si>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</si>
  <si>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</si>
  <si>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</si>
  <si>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</si>
  <si>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</si>
  <si>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</si>
  <si>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</si>
  <si>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</si>
  <si>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</si>
  <si>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</si>
  <si>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</si>
  <si>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</si>
  <si>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</si>
  <si>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</si>
  <si>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</si>
  <si>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</si>
  <si>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</si>
  <si>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</si>
  <si>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</si>
  <si>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</si>
  <si>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</si>
  <si>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</si>
  <si>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</si>
  <si>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</si>
  <si>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</si>
  <si>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</si>
  <si>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</si>
  <si>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</si>
  <si>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</si>
  <si>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</si>
  <si>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</si>
  <si>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</si>
  <si>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</si>
  <si>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</si>
  <si>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</si>
  <si>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</si>
  <si>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</si>
  <si>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</si>
  <si>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</si>
  <si>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</si>
  <si>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</si>
  <si>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</si>
  <si>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</si>
  <si>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</si>
  <si>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</si>
  <si>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</si>
  <si>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</si>
  <si>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</si>
  <si>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</si>
  <si>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</si>
  <si>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</si>
  <si>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</si>
  <si>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</si>
  <si>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</si>
  <si>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</si>
  <si>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</si>
  <si>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</si>
  <si>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</si>
  <si>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</si>
  <si>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</si>
  <si>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</si>
  <si>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</si>
  <si>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</si>
  <si>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</si>
  <si>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</si>
  <si>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</si>
  <si>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</si>
  <si>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</si>
  <si>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</si>
  <si>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</si>
  <si>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</si>
  <si>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</si>
  <si>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</si>
  <si>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</si>
  <si>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</si>
  <si>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</si>
  <si>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</si>
  <si>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</si>
  <si>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</si>
  <si>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</si>
  <si>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</si>
  <si>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</si>
  <si>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</si>
  <si>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</si>
  <si>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</si>
  <si>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</si>
  <si>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</si>
  <si>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</si>
  <si>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</si>
  <si>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</si>
  <si>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</si>
  <si>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</si>
  <si>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</si>
  <si>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</si>
  <si>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</si>
  <si>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</si>
  <si>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</si>
  <si>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</si>
  <si>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</si>
  <si>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</si>
  <si>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</si>
  <si>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</si>
  <si>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</si>
  <si>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</si>
  <si>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</si>
  <si>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</si>
  <si>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</si>
  <si>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</si>
  <si>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</si>
  <si>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</si>
  <si>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</si>
  <si>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</si>
  <si>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</si>
  <si>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</si>
  <si>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</si>
  <si>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</si>
  <si>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</si>
  <si>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</si>
  <si>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</si>
  <si>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</si>
  <si>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</si>
  <si>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</si>
  <si>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</si>
  <si>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</si>
  <si>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</si>
  <si>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</si>
  <si>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</si>
  <si>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</si>
  <si>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</si>
  <si>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</si>
  <si>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</si>
  <si>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</si>
  <si>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</si>
  <si>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</si>
  <si>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</si>
  <si>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</si>
  <si>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</si>
  <si>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</si>
  <si>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</si>
  <si>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</si>
  <si>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</si>
  <si>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</si>
  <si>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</si>
  <si>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</si>
  <si>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</si>
  <si>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</si>
  <si>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</si>
  <si>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</si>
  <si>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</si>
  <si>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</si>
  <si>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</si>
  <si>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</si>
  <si>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</si>
  <si>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</si>
  <si>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</si>
  <si>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</si>
  <si>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</si>
  <si>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</si>
  <si>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</si>
  <si>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</si>
  <si>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</si>
  <si>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</si>
  <si>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</si>
  <si>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</si>
  <si>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</si>
  <si>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</si>
  <si>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</si>
  <si>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</si>
  <si>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</si>
  <si>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</si>
  <si>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</si>
  <si>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</si>
  <si>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</si>
  <si>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</si>
  <si>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</si>
  <si>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</si>
  <si>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</si>
  <si>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</si>
  <si>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</si>
  <si>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</si>
  <si>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</si>
  <si>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</si>
  <si>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</si>
  <si>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</si>
  <si>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</si>
  <si>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</si>
  <si>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</si>
  <si>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</si>
  <si>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</si>
  <si>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</si>
  <si>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</si>
  <si>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</si>
  <si>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</si>
  <si>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</si>
  <si>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</si>
  <si>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</si>
  <si>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</si>
  <si>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</si>
  <si>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</si>
  <si>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</si>
  <si>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</si>
  <si>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</si>
  <si>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</si>
  <si>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</si>
  <si>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</si>
  <si>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</si>
  <si>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</si>
  <si>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</si>
  <si>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</si>
  <si>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</si>
  <si>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</si>
  <si>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</si>
  <si>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</si>
  <si>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</si>
  <si>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</si>
  <si>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</si>
  <si>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</si>
  <si>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</si>
  <si>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</si>
  <si>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</si>
  <si>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</si>
  <si>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</si>
  <si>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</si>
  <si>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</si>
  <si>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</si>
  <si>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</si>
  <si>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</si>
  <si>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</si>
  <si>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</si>
  <si>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</si>
  <si>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</si>
  <si>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</si>
  <si>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</si>
  <si>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</si>
  <si>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</si>
  <si>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</si>
  <si>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</si>
  <si>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</si>
  <si>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</si>
  <si>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</si>
  <si>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</si>
  <si>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</si>
  <si>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</si>
  <si>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</si>
  <si>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</si>
  <si>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</si>
  <si>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</si>
  <si>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</si>
  <si>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</si>
  <si>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</si>
  <si>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</si>
  <si>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</si>
  <si>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</si>
  <si>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</si>
  <si>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</si>
  <si>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</si>
  <si>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</si>
  <si>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</si>
  <si>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</si>
  <si>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</si>
  <si>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</si>
  <si>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</si>
  <si>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</si>
  <si>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</si>
  <si>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</si>
  <si>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</si>
  <si>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</si>
  <si>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</si>
  <si>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</si>
  <si>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</si>
  <si>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</si>
  <si>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</si>
  <si>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</si>
  <si>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</si>
  <si>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</si>
  <si>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</si>
  <si>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</si>
  <si>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</si>
  <si>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</si>
  <si>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</si>
  <si>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</si>
  <si>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</si>
  <si>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</si>
  <si>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</si>
  <si>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</si>
  <si>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</si>
  <si>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</si>
  <si>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</si>
  <si>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</si>
  <si>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</si>
  <si>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</si>
  <si>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</si>
  <si>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</si>
  <si>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</si>
  <si>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</si>
  <si>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</si>
  <si>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</si>
  <si>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</si>
  <si>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</si>
  <si>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</si>
  <si>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</si>
  <si>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</si>
  <si>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</si>
  <si>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</si>
  <si>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</si>
  <si>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</si>
  <si>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</si>
  <si>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</si>
  <si>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</si>
  <si>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</si>
  <si>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</si>
  <si>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</si>
  <si>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</si>
  <si>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</si>
  <si>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</si>
  <si>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</si>
  <si>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</si>
  <si>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</si>
  <si>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</si>
  <si>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</si>
  <si>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</si>
  <si>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</si>
  <si>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</si>
  <si>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</si>
  <si>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</si>
  <si>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</si>
  <si>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</si>
  <si>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</si>
  <si>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</si>
  <si>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</si>
  <si>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</si>
  <si>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</si>
  <si>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</si>
  <si>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</si>
  <si>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</si>
  <si>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</si>
  <si>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</si>
  <si>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</si>
  <si>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</si>
  <si>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</si>
  <si>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</si>
  <si>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</si>
  <si>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</si>
  <si>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</si>
  <si>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</si>
  <si>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</si>
  <si>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</si>
  <si>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</si>
  <si>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</si>
  <si>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</si>
  <si>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</si>
  <si>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</si>
  <si>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</si>
  <si>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</si>
  <si>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</si>
  <si>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</si>
  <si>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</si>
  <si>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</si>
  <si>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</si>
  <si>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</si>
  <si>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</si>
  <si>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</si>
  <si>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</si>
  <si>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</si>
  <si>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</si>
  <si>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</si>
  <si>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</si>
  <si>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</si>
  <si>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</si>
  <si>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</si>
  <si>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</si>
  <si>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</si>
  <si>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</si>
  <si>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</si>
  <si>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</si>
  <si>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</si>
  <si>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</si>
  <si>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</si>
  <si>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</si>
  <si>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</si>
  <si>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</si>
  <si>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</si>
  <si>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</si>
  <si>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</si>
  <si>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</si>
  <si>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</si>
  <si>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</si>
  <si>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</si>
  <si>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</si>
  <si>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</si>
  <si>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</si>
  <si>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</si>
  <si>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</si>
  <si>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</si>
  <si>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</si>
  <si>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</si>
  <si>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</si>
  <si>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</si>
  <si>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</si>
  <si>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</si>
  <si>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</si>
  <si>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</si>
  <si>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</si>
  <si>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</si>
  <si>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</si>
  <si>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</si>
  <si>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</si>
  <si>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</si>
  <si>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</si>
  <si>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</si>
  <si>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</si>
  <si>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</si>
  <si>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</si>
  <si>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</si>
  <si>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</si>
  <si>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</si>
  <si>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</si>
  <si>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</si>
  <si>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</si>
  <si>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</si>
  <si>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</si>
  <si>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</si>
  <si>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</si>
  <si>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</si>
  <si>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</si>
  <si>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</si>
  <si>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</si>
  <si>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</si>
  <si>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</si>
  <si>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</si>
  <si>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</si>
  <si>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</si>
  <si>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</si>
  <si>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</si>
  <si>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</si>
  <si>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</si>
  <si>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</si>
  <si>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</si>
  <si>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</si>
  <si>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</si>
  <si>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</si>
  <si>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</si>
  <si>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</si>
  <si>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</si>
  <si>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</si>
  <si>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</si>
  <si>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</si>
  <si>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</si>
  <si>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</si>
  <si>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</si>
  <si>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</si>
  <si>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</si>
  <si>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</si>
  <si>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</si>
  <si>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</si>
  <si>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</si>
  <si>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</si>
  <si>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</si>
  <si>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</si>
  <si>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</si>
  <si>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</si>
  <si>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</si>
  <si>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</si>
  <si>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</si>
  <si>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</si>
  <si>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</si>
  <si>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</si>
  <si>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</si>
  <si>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</si>
  <si>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</si>
  <si>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</si>
  <si>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</si>
  <si>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</si>
  <si>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</si>
  <si>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</si>
  <si>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</si>
  <si>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</si>
  <si>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</si>
  <si>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</si>
  <si>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</si>
  <si>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</si>
  <si>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</si>
  <si>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</si>
  <si>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</si>
  <si>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</si>
  <si>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</si>
  <si>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</si>
  <si>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</si>
  <si>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</si>
  <si>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</si>
  <si>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</si>
  <si>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</si>
  <si>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</si>
  <si>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</si>
  <si>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</si>
  <si>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</si>
  <si>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</si>
  <si>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</si>
  <si>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</si>
  <si>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</si>
  <si>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</si>
  <si>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</si>
  <si>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</si>
  <si>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</si>
  <si>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</si>
  <si>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</si>
  <si>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</si>
  <si>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</si>
  <si>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</si>
  <si>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</si>
  <si>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</si>
  <si>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</si>
  <si>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</si>
  <si>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</si>
  <si>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</si>
  <si>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</si>
  <si>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</si>
  <si>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</si>
  <si>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</si>
  <si>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</si>
  <si>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</si>
  <si>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</si>
  <si>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</si>
  <si>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</si>
  <si>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</si>
  <si>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</si>
  <si>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</si>
  <si>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</si>
  <si>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</si>
  <si>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</si>
  <si>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</si>
  <si>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</si>
  <si>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</si>
  <si>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</si>
  <si>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</si>
  <si>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</si>
  <si>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</si>
  <si>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</si>
  <si>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</si>
  <si>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</si>
  <si>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</si>
  <si>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</si>
  <si>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</si>
  <si>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</si>
  <si>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</si>
  <si>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</si>
  <si>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</si>
  <si>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</si>
  <si>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</si>
  <si>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</si>
  <si>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</si>
  <si>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</si>
  <si>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</si>
  <si>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</si>
  <si>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</si>
  <si>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</si>
  <si>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</si>
  <si>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</si>
  <si>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</si>
  <si>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</si>
  <si>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</si>
  <si>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</si>
  <si>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</si>
  <si>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</si>
  <si>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</si>
  <si>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</si>
  <si>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</si>
  <si>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</si>
  <si>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</si>
  <si>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</si>
  <si>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</si>
  <si>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</si>
  <si>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</si>
  <si>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</si>
  <si>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</si>
  <si>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</si>
  <si>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</si>
  <si>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</si>
  <si>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</si>
  <si>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</si>
  <si>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</si>
  <si>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</si>
  <si>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</si>
  <si>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</si>
  <si>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</si>
  <si>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</si>
  <si>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</si>
  <si>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</si>
  <si>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</si>
  <si>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</si>
  <si>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</si>
  <si>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</si>
  <si>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</si>
  <si>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</si>
  <si>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</si>
  <si>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</si>
  <si>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</si>
  <si>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</si>
  <si>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</si>
  <si>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</si>
  <si>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</si>
  <si>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</si>
  <si>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</si>
  <si>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</si>
  <si>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</si>
  <si>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</si>
  <si>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</si>
  <si>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</si>
  <si>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</si>
  <si>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</si>
  <si>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</si>
  <si>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</si>
  <si>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</si>
  <si>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</si>
  <si>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</si>
  <si>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</si>
  <si>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</si>
  <si>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</si>
  <si>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</si>
  <si>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</si>
  <si>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</si>
  <si>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</si>
  <si>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</si>
  <si>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</si>
  <si>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</si>
  <si>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</si>
  <si>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</si>
  <si>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</si>
  <si>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</si>
  <si>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</si>
  <si>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</si>
  <si>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</si>
  <si>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</si>
  <si>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</si>
  <si>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</si>
  <si>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</si>
  <si>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</si>
  <si>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</si>
  <si>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</si>
  <si>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</si>
  <si>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</si>
  <si>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</si>
  <si>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</si>
  <si>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</si>
  <si>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</si>
  <si>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</si>
  <si>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</si>
  <si>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</si>
  <si>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</si>
  <si>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</si>
  <si>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</si>
  <si>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</si>
  <si>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</si>
  <si>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</si>
  <si>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</si>
  <si>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</si>
  <si>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</si>
  <si>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</si>
  <si>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</si>
  <si>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</si>
  <si>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</si>
  <si>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</si>
  <si>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</si>
  <si>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</si>
  <si>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</si>
  <si>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</si>
  <si>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</si>
  <si>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</si>
  <si>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</si>
  <si>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</si>
  <si>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</si>
  <si>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</si>
  <si>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</si>
  <si>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</si>
  <si>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</si>
  <si>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</si>
  <si>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</si>
  <si>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</si>
  <si>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</si>
  <si>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</si>
  <si>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</si>
  <si>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</si>
  <si>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</si>
  <si>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</si>
  <si>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</si>
  <si>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</si>
  <si>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</si>
  <si>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</si>
  <si>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</si>
  <si>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</si>
  <si>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</si>
  <si>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</si>
  <si>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</si>
  <si>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</si>
  <si>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</si>
  <si>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</si>
  <si>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</si>
  <si>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</si>
  <si>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</si>
  <si>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</si>
  <si>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</si>
  <si>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</si>
  <si>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</si>
  <si>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</si>
  <si>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</si>
  <si>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</si>
  <si>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</si>
  <si>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</si>
  <si>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</si>
  <si>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</si>
  <si>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</si>
  <si>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</si>
  <si>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</si>
  <si>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</si>
  <si>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</si>
  <si>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</si>
  <si>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</si>
  <si>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</si>
  <si>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</si>
  <si>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</si>
  <si>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</si>
  <si>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</si>
  <si>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</si>
  <si>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</si>
  <si>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</si>
  <si>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</si>
  <si>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</si>
  <si>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</si>
  <si>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</si>
  <si>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</si>
  <si>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</si>
  <si>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</si>
  <si>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</si>
  <si>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</si>
  <si>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</si>
  <si>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</si>
  <si>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</si>
  <si>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</si>
  <si>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</si>
  <si>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</si>
  <si>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</si>
  <si>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</si>
  <si>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</si>
  <si>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</si>
  <si>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</si>
  <si>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</si>
  <si>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</si>
  <si>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</si>
  <si>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</si>
  <si>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</si>
  <si>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</si>
  <si>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</si>
  <si>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</si>
  <si>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</si>
  <si>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</si>
  <si>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</si>
  <si>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</si>
  <si>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</si>
  <si>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</si>
  <si>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</si>
  <si>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</si>
  <si>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</si>
  <si>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</si>
  <si>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</si>
  <si>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</si>
  <si>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</si>
  <si>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</si>
  <si>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</si>
  <si>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</si>
  <si>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</si>
  <si>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</si>
  <si>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</si>
  <si>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</si>
  <si>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</si>
  <si>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</si>
  <si>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</si>
  <si>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</si>
  <si>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</si>
  <si>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</si>
  <si>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</si>
  <si>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</si>
  <si>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</si>
  <si>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</si>
  <si>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</si>
  <si>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</si>
  <si>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</si>
  <si>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</si>
  <si>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</si>
  <si>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</si>
  <si>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</si>
  <si>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</si>
  <si>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</si>
  <si>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</si>
  <si>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</si>
  <si>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</si>
  <si>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</si>
  <si>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</si>
  <si>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</si>
  <si>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</si>
  <si>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</si>
  <si>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</si>
  <si>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</si>
  <si>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</si>
  <si>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</si>
  <si>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</si>
  <si>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</si>
  <si>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</si>
  <si>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</si>
  <si>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</si>
  <si>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</si>
  <si>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</si>
  <si>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</si>
  <si>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</si>
  <si>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</si>
  <si>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</si>
  <si>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</si>
  <si>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</si>
  <si>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</si>
  <si>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</si>
  <si>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</si>
  <si>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</si>
  <si>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</si>
  <si>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</si>
  <si>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</si>
  <si>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</si>
  <si>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</si>
  <si>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</si>
  <si>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</si>
  <si>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</si>
  <si>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</si>
  <si>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</si>
  <si>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</si>
  <si>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</si>
  <si>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</si>
  <si>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</si>
  <si>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</si>
  <si>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</si>
  <si>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</si>
  <si>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</si>
  <si>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</si>
  <si>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</si>
  <si>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</si>
  <si>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</si>
  <si>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</si>
  <si>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</si>
  <si>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</si>
  <si>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</si>
  <si>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</si>
  <si>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</si>
  <si>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</si>
  <si>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</si>
  <si>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</si>
  <si>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</si>
  <si>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</si>
  <si>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</si>
  <si>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</si>
  <si>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</si>
  <si>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</si>
  <si>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</si>
  <si>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</si>
  <si>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</si>
  <si>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</si>
  <si>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</si>
  <si>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</si>
  <si>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</si>
  <si>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</si>
  <si>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</si>
  <si>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</si>
  <si>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</si>
  <si>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</si>
  <si>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</si>
  <si>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</si>
  <si>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</si>
  <si>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</si>
  <si>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</si>
  <si>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</si>
  <si>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</si>
  <si>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</si>
  <si>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</si>
  <si>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</si>
  <si>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</si>
  <si>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</si>
  <si>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</si>
  <si>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</si>
  <si>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</si>
  <si>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</si>
  <si>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</si>
  <si>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</si>
  <si>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</si>
  <si>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</si>
  <si>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</si>
  <si>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</si>
  <si>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</si>
  <si>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</si>
  <si>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</si>
  <si>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</si>
  <si>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</si>
  <si>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</si>
  <si>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</si>
  <si>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</si>
  <si>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</si>
  <si>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</si>
  <si>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</si>
  <si>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</si>
  <si>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</si>
  <si>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</si>
  <si>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</si>
  <si>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</si>
  <si>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</si>
  <si>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</si>
  <si>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</si>
  <si>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</si>
  <si>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</si>
  <si>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</si>
  <si>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</si>
  <si>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</si>
  <si>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</si>
  <si>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</si>
  <si>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</si>
  <si>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</si>
  <si>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</si>
  <si>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</si>
  <si>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</si>
  <si>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</si>
  <si>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</si>
  <si>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</si>
  <si>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</si>
  <si>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</si>
  <si>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</si>
  <si>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</si>
  <si>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</si>
  <si>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</si>
  <si>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</si>
  <si>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</si>
  <si>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</si>
  <si>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</si>
  <si>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</si>
  <si>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</si>
  <si>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</si>
  <si>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</si>
  <si>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</si>
  <si>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</si>
  <si>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</si>
  <si>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</si>
  <si>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</si>
  <si>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</si>
  <si>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</si>
  <si>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</si>
  <si>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</si>
  <si>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</si>
  <si>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</si>
  <si>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</si>
  <si>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</si>
  <si>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</si>
  <si>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</si>
  <si>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</si>
  <si>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</si>
  <si>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</si>
  <si>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</si>
  <si>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</si>
  <si>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</si>
  <si>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</si>
  <si>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</si>
  <si>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</si>
  <si>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</si>
  <si>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</si>
  <si>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</si>
  <si>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</si>
  <si>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</si>
  <si>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</si>
  <si>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</si>
  <si>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</si>
  <si>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</si>
  <si>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</si>
  <si>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</si>
  <si>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</si>
  <si>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</si>
  <si>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</si>
  <si>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</si>
  <si>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</si>
  <si>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</si>
  <si>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</si>
  <si>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</si>
  <si>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</si>
  <si>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</si>
  <si>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</si>
  <si>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</si>
  <si>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</si>
  <si>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</si>
  <si>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</si>
  <si>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</si>
  <si>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</si>
  <si>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</si>
  <si>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</si>
  <si>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</si>
  <si>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</si>
  <si>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</si>
  <si>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</si>
  <si>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</si>
  <si>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</si>
  <si>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</si>
  <si>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</si>
  <si>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</si>
  <si>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</si>
  <si>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</si>
  <si>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</si>
  <si>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</si>
  <si>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</si>
  <si>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</si>
  <si>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</si>
  <si>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</si>
  <si>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</si>
  <si>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</si>
  <si>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</si>
  <si>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</si>
  <si>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</si>
  <si>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</si>
  <si>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</si>
  <si>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</si>
  <si>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</si>
  <si>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</si>
  <si>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</si>
  <si>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</si>
  <si>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</si>
  <si>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</si>
  <si>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</si>
  <si>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</si>
  <si>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</si>
  <si>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</si>
  <si>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</si>
  <si>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</si>
  <si>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</si>
  <si>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</si>
  <si>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</si>
  <si>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</si>
  <si>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</si>
  <si>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</si>
  <si>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</si>
  <si>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</si>
  <si>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</si>
  <si>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</si>
  <si>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</si>
  <si>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</si>
  <si>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</si>
  <si>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</si>
  <si>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</si>
  <si>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</si>
  <si>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</si>
  <si>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</si>
  <si>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</si>
  <si>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</si>
  <si>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</si>
  <si>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</si>
  <si>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</si>
  <si>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</si>
  <si>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</si>
  <si>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</si>
  <si>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</si>
  <si>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</si>
  <si>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</si>
  <si>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</si>
  <si>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</si>
  <si>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</si>
  <si>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</si>
  <si>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</si>
  <si>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</si>
  <si>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</si>
  <si>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</si>
  <si>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</si>
  <si>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</si>
  <si>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</si>
  <si>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</si>
  <si>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</si>
  <si>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</si>
  <si>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</si>
  <si>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</si>
  <si>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</si>
  <si>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</si>
  <si>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</si>
  <si>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</si>
  <si>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</si>
  <si>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</si>
  <si>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</si>
  <si>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</si>
  <si>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</si>
  <si>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</si>
  <si>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</si>
  <si>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</si>
  <si>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</si>
  <si>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</si>
  <si>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</si>
  <si>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</si>
  <si>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</si>
  <si>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</si>
  <si>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</si>
  <si>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</si>
  <si>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</si>
  <si>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</si>
  <si>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</si>
  <si>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</si>
  <si>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</si>
  <si>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</si>
  <si>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</si>
  <si>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</si>
  <si>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</si>
  <si>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</si>
  <si>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</si>
  <si>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</si>
  <si>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</si>
  <si>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</si>
  <si>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</si>
  <si>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</si>
  <si>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</si>
  <si>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</si>
  <si>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</si>
  <si>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</si>
  <si>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</si>
  <si>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</si>
  <si>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</si>
  <si>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</si>
  <si>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</si>
  <si>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</si>
  <si>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</si>
  <si>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</si>
  <si>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</si>
  <si>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</si>
  <si>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</si>
  <si>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</si>
  <si>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</si>
  <si>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</si>
  <si>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</si>
  <si>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</si>
  <si>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</si>
  <si>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</si>
  <si>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</si>
  <si>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</si>
  <si>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</si>
  <si>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</si>
  <si>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</si>
  <si>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</si>
  <si>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</si>
  <si>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</si>
  <si>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</si>
  <si>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</si>
  <si>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</si>
  <si>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</si>
  <si>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</si>
  <si>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</si>
  <si>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</si>
  <si>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</si>
  <si>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</si>
  <si>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</si>
  <si>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</si>
  <si>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</si>
  <si>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</si>
  <si>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</si>
  <si>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</si>
  <si>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</si>
  <si>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</si>
  <si>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</si>
  <si>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</si>
  <si>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</si>
  <si>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</si>
  <si>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</si>
  <si>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</si>
  <si>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</si>
  <si>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</si>
  <si>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</si>
  <si>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</si>
  <si>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</si>
  <si>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</si>
  <si>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</si>
  <si>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</si>
  <si>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</si>
  <si>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</si>
  <si>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</si>
  <si>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</si>
  <si>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</si>
  <si>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</si>
  <si>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</si>
  <si>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</si>
  <si>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</si>
  <si>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</si>
  <si>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</si>
  <si>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</si>
  <si>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</si>
  <si>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</si>
  <si>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</si>
  <si>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</si>
  <si>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</si>
  <si>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</si>
  <si>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</si>
  <si>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</si>
  <si>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</si>
  <si>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</si>
  <si>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</si>
  <si>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</si>
  <si>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</si>
  <si>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</si>
  <si>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</si>
  <si>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</si>
  <si>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</si>
  <si>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</si>
  <si>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</si>
  <si>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</si>
  <si>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</si>
  <si>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</si>
  <si>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</si>
  <si>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</si>
  <si>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</si>
  <si>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</si>
  <si>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</si>
  <si>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</si>
  <si>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</si>
  <si>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</si>
  <si>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</si>
  <si>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</si>
  <si>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</si>
  <si>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</si>
  <si>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</si>
  <si>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</si>
  <si>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</si>
  <si>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</si>
  <si>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</si>
  <si>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</si>
  <si>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</si>
  <si>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</si>
  <si>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</si>
  <si>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</si>
  <si>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</si>
  <si>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</si>
  <si>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</si>
  <si>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</si>
  <si>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</si>
  <si>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</si>
  <si>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</si>
  <si>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</si>
  <si>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</si>
  <si>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</si>
  <si>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</si>
  <si>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</si>
  <si>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</si>
  <si>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</si>
  <si>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</si>
  <si>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</si>
  <si>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</si>
  <si>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</si>
  <si>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</si>
  <si>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</si>
  <si>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</si>
  <si>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</si>
  <si>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</si>
  <si>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</si>
  <si>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</si>
  <si>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</si>
  <si>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</si>
  <si>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</si>
  <si>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</si>
  <si>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</si>
  <si>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</si>
  <si>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</si>
  <si>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</si>
  <si>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</si>
  <si>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</si>
  <si>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</si>
  <si>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</si>
  <si>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</si>
  <si>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</si>
  <si>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</si>
  <si>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</si>
  <si>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</si>
  <si>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</si>
  <si>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</si>
  <si>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</si>
  <si>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</si>
  <si>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</si>
  <si>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</si>
  <si>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</si>
  <si>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</si>
  <si>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</si>
  <si>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</si>
  <si>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</si>
  <si>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</si>
  <si>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</si>
  <si>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</si>
  <si>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</si>
  <si>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</si>
  <si>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</si>
  <si>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</si>
  <si>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</si>
  <si>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</si>
  <si>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</si>
  <si>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</si>
  <si>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</si>
  <si>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</si>
  <si>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</si>
  <si>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</si>
  <si>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</si>
  <si>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</si>
  <si>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</si>
  <si>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</si>
  <si>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</si>
  <si>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</si>
  <si>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</si>
  <si>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</si>
  <si>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</si>
  <si>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</si>
  <si>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</si>
  <si>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</si>
  <si>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</si>
  <si>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</si>
  <si>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</si>
  <si>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</si>
  <si>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</si>
  <si>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</si>
  <si>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</si>
  <si>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</si>
  <si>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</si>
  <si>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</si>
  <si>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</si>
  <si>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</si>
  <si>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</si>
  <si>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</si>
  <si>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</si>
  <si>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</si>
  <si>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</si>
  <si>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</si>
  <si>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</si>
  <si>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</si>
  <si>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</si>
  <si>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</si>
  <si>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</si>
  <si>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</si>
  <si>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</si>
  <si>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</si>
  <si>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</si>
  <si>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</si>
  <si>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</si>
  <si>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</si>
  <si>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</si>
  <si>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</si>
  <si>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</si>
  <si>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</si>
  <si>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</si>
  <si>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</si>
  <si>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</si>
  <si>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</si>
  <si>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</si>
  <si>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</si>
  <si>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</si>
  <si>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</si>
  <si>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</si>
  <si>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</si>
  <si>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</si>
  <si>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</si>
  <si>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</si>
  <si>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</si>
  <si>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</si>
  <si>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</si>
  <si>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</si>
  <si>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</si>
  <si>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</si>
  <si>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</si>
  <si>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</si>
  <si>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</si>
  <si>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</si>
  <si>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</si>
  <si>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</si>
  <si>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</si>
  <si>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</si>
  <si>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</si>
  <si>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</si>
  <si>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</si>
  <si>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</si>
  <si>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</si>
  <si>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</si>
  <si>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</si>
  <si>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</si>
  <si>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</si>
  <si>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</si>
  <si>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</si>
  <si>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</si>
  <si>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</si>
  <si>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</si>
  <si>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</si>
  <si>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</si>
  <si>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</si>
  <si>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</si>
  <si>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</si>
  <si>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</si>
  <si>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</si>
  <si>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</si>
  <si>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</si>
  <si>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</si>
  <si>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</si>
  <si>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</si>
  <si>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</si>
  <si>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</si>
  <si>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</si>
  <si>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</si>
  <si>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</si>
  <si>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</si>
  <si>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</si>
  <si>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</si>
  <si>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</si>
  <si>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</si>
  <si>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</si>
  <si>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</si>
  <si>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</si>
  <si>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</si>
  <si>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</si>
  <si>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</si>
  <si>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</si>
  <si>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</si>
  <si>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</si>
  <si>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</si>
  <si>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</si>
  <si>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</si>
  <si>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</si>
  <si>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</si>
  <si>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</si>
  <si>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</si>
  <si>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</si>
  <si>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</si>
  <si>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</si>
  <si>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</si>
  <si>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</si>
  <si>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</si>
  <si>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</si>
  <si>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</si>
  <si>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</si>
  <si>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</si>
  <si>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</si>
  <si>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</si>
  <si>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</si>
  <si>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</si>
  <si>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</si>
  <si>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</si>
  <si>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</si>
  <si>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</si>
  <si>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</si>
  <si>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</si>
  <si>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</si>
  <si>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</si>
  <si>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</si>
  <si>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</si>
  <si>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</si>
  <si>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</si>
  <si>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</si>
  <si>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</si>
  <si>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</si>
  <si>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</si>
  <si>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</si>
  <si>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</si>
  <si>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</si>
  <si>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</si>
  <si>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</si>
  <si>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</si>
  <si>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</si>
  <si>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</si>
  <si>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</si>
  <si>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</si>
  <si>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</si>
  <si>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</si>
  <si>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</si>
  <si>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</si>
  <si>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</si>
  <si>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</si>
  <si>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</si>
  <si>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</si>
  <si>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</si>
  <si>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</si>
  <si>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</si>
  <si>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</si>
  <si>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</si>
  <si>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</si>
  <si>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</si>
  <si>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</si>
  <si>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</si>
  <si>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</si>
  <si>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</si>
  <si>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</si>
  <si>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</si>
  <si>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</si>
  <si>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</si>
  <si>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</si>
  <si>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</si>
  <si>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</si>
  <si>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</si>
  <si>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</si>
  <si>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</si>
  <si>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</si>
  <si>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</si>
  <si>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</si>
  <si>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</si>
  <si>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</si>
  <si>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</si>
  <si>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</si>
  <si>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</si>
  <si>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</si>
  <si>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</si>
  <si>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</si>
  <si>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</si>
  <si>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</si>
  <si>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</si>
  <si>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</si>
  <si>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</si>
  <si>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</si>
  <si>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</si>
  <si>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</si>
  <si>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</si>
  <si>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</si>
  <si>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</si>
  <si>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</si>
  <si>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</si>
  <si>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</si>
  <si>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</si>
  <si>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</si>
  <si>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</si>
  <si>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</si>
  <si>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</si>
  <si>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</si>
  <si>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</si>
  <si>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</si>
  <si>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</si>
  <si>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</si>
  <si>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</si>
  <si>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</si>
  <si>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</si>
  <si>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</si>
  <si>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</si>
  <si>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</si>
  <si>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</si>
  <si>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</si>
  <si>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</si>
  <si>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</si>
  <si>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</si>
  <si>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</si>
  <si>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</si>
  <si>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</si>
  <si>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</si>
  <si>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</si>
  <si>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</si>
  <si>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</si>
  <si>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</si>
  <si>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</si>
  <si>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</si>
  <si>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</si>
  <si>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</si>
  <si>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</si>
  <si>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</si>
  <si>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</si>
  <si>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</si>
  <si>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</si>
  <si>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</si>
  <si>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</si>
  <si>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</si>
  <si>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</si>
  <si>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</si>
  <si>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</si>
  <si>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</si>
  <si>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</si>
  <si>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</si>
  <si>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</si>
  <si>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</si>
  <si>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</si>
  <si>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</si>
  <si>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</si>
  <si>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</si>
  <si>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</si>
  <si>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</si>
  <si>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</si>
  <si>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</si>
  <si>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</si>
  <si>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</si>
  <si>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</si>
  <si>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</si>
  <si>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</si>
  <si>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</si>
  <si>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</si>
  <si>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</si>
  <si>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</si>
  <si>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</si>
  <si>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</si>
  <si>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</si>
  <si>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</si>
  <si>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</si>
  <si>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</si>
  <si>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</si>
  <si>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</si>
  <si>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</si>
  <si>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</si>
  <si>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</si>
  <si>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</si>
  <si>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</si>
  <si>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</si>
  <si>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</si>
  <si>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</si>
  <si>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</si>
  <si>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</si>
  <si>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</si>
  <si>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</si>
  <si>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</si>
  <si>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</si>
  <si>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</si>
  <si>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</si>
  <si>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</si>
  <si>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</si>
  <si>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</si>
  <si>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</si>
  <si>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</si>
  <si>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</si>
  <si>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</si>
  <si>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</si>
  <si>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</si>
  <si>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</si>
  <si>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</si>
  <si>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</si>
  <si>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</si>
  <si>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</si>
  <si>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</si>
  <si>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</si>
  <si>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</si>
  <si>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</si>
  <si>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</si>
  <si>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</si>
  <si>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</si>
  <si>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</si>
  <si>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</si>
  <si>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</si>
  <si>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</si>
  <si>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</si>
  <si>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</si>
  <si>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</si>
  <si>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</si>
  <si>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</si>
  <si>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</si>
  <si>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</si>
  <si>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</si>
  <si>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</si>
  <si>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</si>
  <si>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</si>
  <si>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</si>
  <si>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</si>
  <si>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</si>
  <si>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</si>
  <si>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</si>
  <si>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</si>
  <si>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</si>
  <si>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</si>
  <si>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</si>
  <si>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</si>
  <si>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</si>
  <si>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</si>
  <si>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</si>
  <si>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</si>
  <si>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</si>
  <si>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</si>
  <si>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</si>
  <si>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</si>
  <si>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</si>
  <si>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</si>
  <si>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</si>
  <si>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</si>
  <si>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</si>
  <si>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</si>
  <si>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</si>
  <si>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</si>
  <si>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</si>
  <si>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</si>
  <si>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</si>
  <si>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</si>
  <si>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</si>
  <si>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</si>
  <si>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</si>
  <si>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</si>
  <si>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</si>
  <si>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</si>
  <si>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</si>
  <si>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</si>
  <si>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</si>
  <si>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</si>
  <si>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</si>
  <si>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</si>
  <si>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</si>
  <si>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</si>
  <si>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</si>
  <si>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</si>
  <si>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</si>
  <si>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</si>
  <si>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</si>
  <si>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</si>
  <si>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</si>
  <si>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</si>
  <si>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</si>
  <si>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</si>
  <si>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</si>
  <si>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</si>
  <si>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</si>
  <si>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</si>
  <si>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</si>
  <si>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</si>
  <si>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</si>
  <si>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</si>
  <si>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</si>
  <si>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</si>
  <si>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</si>
  <si>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</si>
  <si>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</si>
  <si>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</si>
  <si>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</si>
  <si>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</si>
  <si>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</si>
  <si>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</si>
  <si>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</si>
  <si>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</si>
  <si>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</si>
  <si>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</si>
  <si>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</si>
  <si>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</si>
  <si>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</si>
  <si>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</si>
  <si>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</si>
  <si>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</si>
  <si>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</si>
  <si>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</si>
  <si>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</si>
  <si>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</si>
  <si>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</si>
  <si>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</si>
  <si>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</si>
  <si>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</si>
  <si>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</si>
  <si>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</si>
  <si>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</si>
  <si>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</si>
  <si>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</si>
  <si>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</si>
  <si>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</si>
  <si>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</si>
  <si>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</si>
  <si>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</si>
  <si>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</si>
  <si>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</si>
  <si>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</si>
  <si>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</si>
  <si>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</si>
  <si>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</si>
  <si>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</si>
  <si>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</si>
  <si>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</si>
  <si>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</si>
  <si>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</si>
  <si>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</si>
  <si>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</si>
  <si>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</si>
  <si>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</si>
  <si>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</si>
  <si>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</si>
  <si>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</si>
  <si>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</si>
  <si>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</si>
  <si>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</si>
  <si>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</si>
  <si>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</si>
  <si>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</si>
  <si>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</si>
  <si>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</si>
  <si>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</si>
  <si>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</si>
  <si>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</si>
  <si>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</si>
  <si>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</si>
  <si>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</si>
  <si>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</si>
  <si>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</si>
  <si>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</si>
  <si>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</si>
  <si>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</si>
  <si>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</si>
  <si>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</si>
  <si>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</si>
  <si>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</si>
  <si>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</si>
  <si>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</si>
  <si>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</si>
  <si>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</si>
  <si>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</si>
  <si>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</si>
  <si>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</si>
  <si>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</si>
  <si>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</si>
  <si>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</si>
  <si>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</si>
  <si>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</si>
  <si>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</si>
  <si>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</si>
  <si>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</si>
  <si>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</si>
  <si>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</si>
  <si>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</si>
  <si>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</si>
  <si>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</si>
  <si>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</si>
  <si>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</si>
  <si>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</si>
  <si>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</si>
  <si>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</si>
  <si>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</si>
  <si>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</si>
  <si>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</si>
  <si>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</si>
  <si>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</si>
  <si>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</si>
  <si>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</si>
  <si>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</si>
  <si>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</si>
  <si>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</si>
  <si>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</si>
  <si>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</si>
  <si>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</si>
  <si>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</si>
  <si>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</si>
  <si>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</si>
  <si>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</si>
  <si>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</si>
  <si>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</si>
  <si>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</si>
  <si>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</si>
  <si>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</si>
  <si>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</si>
  <si>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</si>
  <si>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</si>
  <si>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</si>
  <si>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</si>
  <si>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</si>
  <si>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</si>
  <si>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</si>
  <si>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</si>
  <si>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</si>
  <si>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</si>
  <si>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</si>
  <si>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</si>
  <si>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</si>
  <si>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</si>
  <si>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</si>
  <si>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</si>
  <si>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</si>
  <si>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</si>
  <si>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</si>
  <si>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</si>
  <si>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</si>
  <si>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</si>
  <si>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</si>
  <si>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</si>
  <si>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</si>
  <si>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</si>
  <si>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</si>
  <si>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</si>
  <si>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</si>
  <si>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</si>
  <si>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</si>
  <si>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</si>
  <si>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</si>
  <si>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</si>
  <si>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</si>
  <si>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</si>
  <si>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</si>
  <si>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</si>
  <si>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</si>
  <si>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</si>
  <si>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</si>
  <si>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</si>
  <si>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</si>
  <si>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</si>
  <si>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</si>
  <si>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</si>
  <si>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</si>
  <si>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</si>
  <si>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</si>
  <si>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</si>
  <si>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</si>
  <si>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</si>
  <si>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</si>
  <si>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</si>
  <si>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</si>
  <si>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</si>
  <si>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</si>
  <si>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</si>
  <si>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</si>
  <si>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</si>
  <si>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</si>
  <si>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</si>
  <si>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</si>
  <si>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</si>
  <si>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</si>
  <si>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</si>
  <si>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</si>
  <si>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</si>
  <si>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</si>
  <si>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</si>
  <si>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</si>
  <si>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</si>
  <si>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</si>
  <si>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</si>
  <si>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</si>
  <si>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</si>
  <si>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</si>
  <si>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</si>
  <si>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</si>
  <si>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</si>
  <si>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</si>
  <si>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</si>
  <si>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</si>
  <si>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</si>
  <si>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</si>
  <si>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</si>
  <si>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</si>
  <si>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</si>
  <si>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</si>
  <si>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</si>
  <si>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</si>
  <si>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</si>
  <si>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</si>
  <si>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</si>
  <si>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</si>
  <si>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</si>
  <si>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</si>
  <si>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</si>
  <si>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</si>
  <si>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</si>
  <si>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</si>
  <si>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</si>
  <si>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</si>
  <si>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</si>
  <si>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</si>
  <si>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</si>
  <si>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</si>
  <si>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</si>
  <si>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</si>
  <si>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</si>
  <si>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</si>
  <si>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</si>
  <si>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</si>
  <si>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</si>
  <si>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</si>
  <si>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</si>
  <si>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</si>
  <si>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</si>
  <si>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</si>
  <si>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</si>
  <si>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</si>
  <si>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</si>
  <si>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</si>
  <si>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</si>
  <si>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</si>
  <si>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</si>
  <si>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</si>
  <si>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</si>
  <si>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</si>
  <si>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</si>
  <si>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</si>
  <si>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</si>
  <si>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</si>
  <si>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</si>
  <si>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</si>
  <si>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</si>
  <si>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</si>
  <si>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</si>
  <si>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</si>
  <si>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</si>
  <si>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</si>
  <si>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</si>
  <si>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</si>
  <si>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</si>
  <si>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</si>
  <si>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</si>
  <si>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</si>
  <si>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</si>
  <si>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</si>
  <si>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</si>
  <si>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</si>
  <si>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</si>
  <si>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</si>
  <si>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</si>
  <si>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</si>
  <si>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</si>
  <si>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</si>
  <si>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</si>
  <si>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</si>
  <si>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</si>
  <si>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</si>
  <si>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</si>
  <si>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</si>
  <si>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</si>
  <si>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</si>
  <si>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</si>
  <si>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</si>
  <si>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</si>
  <si>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</si>
  <si>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</si>
  <si>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</si>
  <si>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</si>
  <si>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</si>
  <si>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</si>
  <si>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</si>
  <si>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</si>
  <si>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</si>
  <si>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</si>
  <si>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</si>
  <si>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</si>
  <si>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</si>
  <si>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</si>
  <si>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</si>
  <si>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</si>
  <si>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</si>
  <si>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</si>
  <si>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</si>
  <si>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</si>
  <si>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</si>
  <si>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</si>
  <si>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</si>
  <si>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</si>
  <si>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</si>
  <si>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</si>
  <si>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</si>
  <si>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</si>
  <si>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</si>
  <si>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</si>
  <si>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</si>
  <si>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</si>
  <si>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</si>
  <si>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</si>
  <si>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</si>
  <si>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</si>
  <si>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</si>
  <si>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</si>
  <si>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</si>
  <si>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</si>
  <si>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</si>
  <si>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</si>
  <si>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</si>
  <si>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</si>
  <si>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</si>
  <si>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</si>
  <si>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</si>
  <si>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</si>
  <si>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</si>
  <si>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</si>
  <si>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</si>
  <si>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</si>
  <si>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</si>
  <si>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</si>
  <si>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</si>
  <si>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</si>
  <si>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</si>
  <si>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</si>
  <si>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</si>
  <si>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</si>
  <si>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</si>
  <si>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</si>
  <si>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</si>
  <si>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</si>
  <si>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</si>
  <si>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</si>
  <si>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</si>
  <si>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</si>
  <si>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</si>
  <si>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</si>
  <si>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</si>
  <si>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</si>
  <si>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</si>
  <si>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</si>
  <si>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</si>
  <si>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</si>
  <si>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</si>
  <si>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</si>
  <si>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</si>
  <si>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</si>
  <si>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</si>
  <si>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</si>
  <si>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</si>
  <si>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</si>
  <si>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</si>
  <si>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</si>
  <si>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</si>
  <si>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</si>
  <si>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</si>
  <si>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</si>
  <si>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</si>
  <si>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</si>
  <si>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</si>
  <si>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</si>
  <si>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</si>
  <si>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</si>
  <si>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</si>
  <si>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</si>
  <si>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</si>
  <si>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</si>
  <si>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</si>
  <si>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</si>
  <si>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</si>
  <si>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</si>
  <si>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</si>
  <si>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</si>
  <si>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</si>
  <si>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</si>
  <si>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</si>
  <si>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</si>
  <si>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</si>
  <si>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</si>
  <si>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</si>
  <si>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</si>
  <si>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</si>
  <si>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</si>
  <si>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</si>
  <si>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</si>
  <si>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</si>
  <si>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</si>
  <si>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</si>
  <si>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</si>
  <si>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</si>
  <si>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</si>
  <si>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</si>
  <si>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</si>
  <si>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</si>
  <si>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</si>
  <si>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</si>
  <si>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</si>
  <si>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</si>
  <si>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</si>
  <si>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</si>
  <si>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</si>
  <si>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</si>
  <si>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</si>
  <si>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</si>
  <si>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</si>
  <si>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</si>
  <si>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</si>
  <si>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</si>
  <si>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</si>
  <si>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</si>
  <si>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</si>
  <si>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</si>
  <si>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</si>
  <si>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</si>
  <si>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</si>
  <si>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</si>
  <si>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</si>
  <si>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</si>
  <si>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</si>
  <si>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</si>
  <si>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</si>
  <si>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</si>
  <si>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</si>
  <si>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</si>
  <si>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</si>
  <si>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</si>
  <si>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</si>
  <si>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</si>
  <si>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</si>
  <si>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</si>
  <si>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</si>
  <si>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</si>
  <si>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</si>
  <si>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</si>
  <si>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</si>
  <si>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</si>
  <si>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</si>
  <si>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</si>
  <si>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</si>
  <si>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</si>
  <si>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</si>
  <si>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</si>
  <si>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</si>
  <si>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</si>
  <si>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</si>
  <si>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</si>
  <si>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</si>
  <si>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</si>
  <si>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</si>
  <si>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</si>
  <si>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</si>
  <si>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</si>
  <si>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</si>
  <si>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</si>
  <si>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</si>
  <si>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</si>
  <si>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</si>
  <si>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</si>
  <si>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</si>
  <si>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</si>
  <si>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</si>
  <si>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</si>
  <si>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</si>
  <si>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</si>
  <si>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</si>
  <si>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</si>
  <si>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</si>
  <si>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</si>
  <si>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</si>
  <si>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</si>
  <si>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</si>
  <si>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</si>
  <si>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</si>
  <si>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</si>
  <si>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</si>
  <si>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</si>
  <si>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</si>
  <si>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</si>
  <si>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</si>
  <si>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</si>
  <si>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</si>
  <si>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</si>
  <si>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</si>
  <si>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</si>
  <si>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</si>
  <si>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</si>
  <si>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</si>
  <si>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</si>
  <si>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</si>
  <si>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</si>
  <si>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</si>
  <si>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</si>
  <si>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</si>
  <si>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</si>
  <si>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</si>
  <si>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</si>
  <si>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</si>
  <si>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</si>
  <si>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</si>
  <si>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</si>
  <si>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</si>
  <si>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</si>
  <si>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</si>
  <si>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</si>
  <si>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</si>
  <si>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</si>
  <si>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</si>
  <si>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</si>
  <si>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</si>
  <si>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</si>
  <si>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</si>
  <si>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</si>
  <si>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</si>
  <si>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</si>
  <si>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</si>
  <si>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</si>
  <si>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</si>
  <si>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</si>
  <si>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</si>
  <si>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</si>
  <si>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</si>
  <si>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</si>
  <si>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</si>
  <si>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</si>
  <si>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</si>
  <si>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</si>
  <si>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</si>
  <si>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</si>
  <si>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</si>
  <si>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</si>
  <si>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</si>
  <si>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</si>
  <si>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</si>
  <si>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</si>
  <si>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</si>
  <si>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</si>
  <si>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</si>
  <si>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</si>
  <si>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</si>
  <si>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</si>
  <si>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</si>
  <si>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</si>
  <si>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</si>
  <si>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</si>
  <si>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</si>
  <si>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</si>
  <si>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</si>
  <si>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</si>
  <si>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</si>
  <si>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</si>
  <si>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</si>
  <si>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</si>
  <si>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</si>
  <si>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</si>
  <si>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</si>
  <si>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</si>
  <si>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</si>
  <si>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</si>
  <si>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</si>
  <si>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</si>
  <si>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</si>
  <si>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</si>
  <si>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</si>
  <si>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</si>
  <si>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</si>
  <si>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</si>
  <si>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</si>
  <si>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</si>
  <si>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</si>
  <si>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</si>
  <si>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</si>
  <si>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</si>
  <si>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</si>
  <si>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</si>
  <si>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</si>
  <si>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</si>
  <si>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</si>
  <si>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</si>
  <si>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</si>
  <si>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</si>
  <si>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</si>
  <si>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</si>
  <si>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</si>
  <si>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</si>
  <si>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</si>
  <si>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</si>
  <si>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</si>
  <si>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</si>
  <si>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</si>
  <si>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</si>
  <si>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</si>
  <si>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</si>
  <si>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</si>
  <si>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</si>
  <si>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</si>
  <si>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</si>
  <si>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</si>
  <si>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</si>
  <si>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</si>
  <si>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</si>
  <si>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</si>
  <si>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</si>
  <si>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</si>
  <si>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</si>
  <si>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</si>
  <si>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</si>
  <si>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</si>
  <si>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</si>
  <si>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</si>
  <si>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</si>
  <si>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</si>
  <si>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</si>
  <si>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</si>
  <si>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</si>
  <si>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</si>
  <si>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</si>
  <si>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</si>
  <si>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</si>
  <si>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</si>
  <si>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</si>
  <si>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</si>
  <si>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</si>
  <si>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</si>
  <si>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</si>
  <si>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</si>
  <si>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</si>
  <si>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</si>
  <si>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</si>
  <si>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</si>
  <si>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</si>
  <si>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</si>
  <si>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</si>
  <si>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</si>
  <si>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</si>
  <si>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</si>
  <si>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</si>
  <si>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</si>
  <si>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</si>
  <si>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</si>
  <si>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</si>
  <si>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</si>
  <si>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</si>
  <si>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</si>
  <si>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</si>
  <si>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</si>
  <si>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</si>
  <si>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</si>
  <si>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</si>
  <si>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</si>
  <si>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</si>
  <si>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</si>
  <si>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</si>
  <si>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</si>
  <si>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</si>
  <si>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</si>
  <si>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</si>
  <si>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</si>
  <si>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</si>
  <si>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</si>
  <si>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</si>
  <si>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</si>
  <si>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</si>
  <si>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</si>
  <si>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</si>
  <si>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</si>
  <si>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</si>
  <si>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</si>
  <si>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</si>
  <si>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</si>
  <si>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</si>
  <si>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</si>
  <si>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</si>
  <si>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</si>
  <si>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</si>
  <si>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</si>
  <si>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</si>
  <si>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</si>
  <si>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</si>
  <si>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</si>
  <si>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</si>
  <si>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</si>
  <si>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</si>
  <si>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</si>
  <si>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</si>
  <si>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</si>
  <si>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</si>
  <si>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</si>
  <si>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</si>
  <si>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</si>
  <si>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</si>
  <si>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</si>
  <si>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</si>
  <si>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</si>
  <si>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</si>
  <si>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</si>
  <si>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</si>
  <si>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</si>
  <si>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</si>
  <si>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</si>
  <si>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</si>
  <si>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</si>
  <si>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</si>
  <si>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</si>
  <si>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</si>
  <si>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</si>
  <si>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</si>
  <si>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</si>
  <si>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</si>
  <si>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</si>
  <si>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</si>
  <si>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</si>
  <si>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</si>
  <si>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</si>
  <si>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</si>
  <si>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</si>
  <si>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</si>
  <si>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</si>
  <si>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</si>
  <si>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</si>
  <si>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</si>
  <si>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</si>
  <si>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</si>
  <si>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</si>
  <si>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</si>
  <si>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</si>
  <si>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</si>
  <si>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</si>
  <si>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</si>
  <si>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</si>
  <si>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</si>
  <si>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</si>
  <si>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</si>
  <si>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</si>
  <si>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</si>
  <si>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</si>
  <si>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</si>
  <si>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</si>
  <si>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</si>
  <si>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</si>
  <si>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</si>
  <si>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</si>
  <si>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</si>
  <si>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</si>
  <si>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</si>
  <si>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</si>
  <si>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</si>
  <si>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</si>
  <si>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</si>
  <si>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</si>
  <si>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</si>
  <si>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</si>
  <si>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</si>
  <si>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</si>
  <si>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</si>
  <si>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</si>
  <si>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</si>
  <si>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</si>
  <si>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</si>
  <si>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</si>
  <si>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</si>
  <si>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</si>
  <si>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</si>
  <si>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</si>
  <si>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</si>
  <si>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</si>
  <si>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</si>
  <si>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</si>
  <si>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</si>
  <si>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</si>
  <si>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</si>
  <si>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</si>
  <si>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</si>
  <si>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</si>
  <si>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</si>
  <si>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</si>
  <si>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</si>
  <si>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</si>
  <si>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</si>
  <si>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</si>
  <si>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</si>
  <si>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</si>
  <si>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</si>
  <si>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</si>
  <si>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</si>
  <si>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</si>
  <si>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</si>
  <si>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</si>
  <si>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</si>
  <si>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</si>
  <si>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</si>
  <si>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</si>
  <si>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</si>
  <si>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</si>
  <si>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</si>
  <si>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</si>
  <si>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</si>
  <si>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</si>
  <si>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</si>
  <si>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</si>
  <si>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</si>
  <si>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</si>
  <si>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</si>
  <si>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</si>
  <si>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</si>
  <si>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</si>
  <si>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</si>
  <si>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</si>
  <si>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</si>
  <si>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</si>
  <si>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</si>
  <si>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</si>
  <si>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</si>
  <si>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</si>
  <si>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</si>
  <si>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</si>
  <si>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</si>
  <si>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</si>
  <si>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</si>
  <si>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</si>
  <si>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</si>
  <si>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</si>
  <si>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</si>
  <si>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</si>
  <si>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</si>
  <si>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</si>
  <si>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</si>
  <si>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</si>
  <si>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</si>
  <si>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</si>
  <si>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</si>
  <si>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</si>
  <si>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</si>
  <si>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</si>
  <si>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</si>
  <si>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</si>
  <si>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</si>
  <si>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</si>
  <si>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</si>
  <si>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</si>
  <si>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</si>
  <si>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</si>
  <si>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</si>
  <si>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</si>
  <si>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</si>
  <si>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</si>
  <si>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</si>
  <si>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</si>
  <si>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</si>
  <si>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</si>
  <si>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</si>
  <si>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</si>
  <si>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</si>
  <si>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</si>
  <si>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</si>
  <si>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</si>
  <si>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</si>
  <si>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</si>
  <si>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</si>
  <si>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</si>
  <si>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</si>
  <si>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</si>
  <si>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</si>
  <si>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</si>
  <si>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</si>
  <si>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</si>
  <si>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</si>
  <si>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</si>
  <si>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</si>
  <si>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</si>
  <si>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</si>
  <si>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</si>
  <si>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</si>
  <si>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</si>
  <si>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</si>
  <si>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</si>
  <si>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</si>
  <si>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</si>
  <si>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</si>
  <si>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</si>
  <si>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</si>
  <si>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</si>
  <si>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</si>
  <si>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</si>
  <si>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</si>
  <si>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</si>
  <si>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</si>
  <si>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</si>
  <si>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</si>
  <si>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</si>
  <si>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</si>
  <si>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</si>
  <si>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</si>
  <si>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</si>
  <si>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</si>
  <si>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</si>
  <si>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</si>
  <si>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</si>
  <si>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</si>
  <si>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</si>
  <si>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</si>
  <si>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</si>
  <si>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</si>
  <si>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</si>
  <si>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</si>
  <si>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</si>
  <si>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</si>
  <si>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</si>
  <si>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</si>
  <si>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</si>
  <si>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</si>
  <si>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</si>
  <si>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</si>
  <si>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</si>
  <si>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</si>
  <si>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</si>
  <si>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</si>
  <si>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</si>
  <si>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</si>
  <si>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</si>
  <si>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</si>
  <si>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</si>
  <si>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</si>
  <si>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</si>
  <si>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</si>
  <si>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</si>
  <si>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</si>
  <si>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</si>
  <si>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</si>
  <si>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</si>
  <si>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</si>
  <si>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</si>
  <si>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</si>
  <si>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</si>
  <si>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</si>
  <si>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</si>
  <si>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</si>
  <si>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</si>
  <si>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</si>
  <si>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</si>
  <si>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</si>
  <si>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</si>
  <si>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</si>
  <si>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</si>
  <si>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</si>
  <si>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</si>
  <si>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</si>
  <si>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</si>
  <si>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</si>
  <si>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</si>
  <si>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</si>
  <si>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</si>
  <si>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</si>
  <si>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</si>
  <si>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</si>
  <si>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</si>
  <si>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</si>
  <si>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</si>
  <si>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</si>
  <si>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</si>
  <si>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</si>
  <si>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</si>
  <si>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</si>
  <si>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</si>
  <si>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</si>
  <si>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</si>
  <si>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</si>
  <si>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</si>
  <si>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</si>
  <si>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</si>
  <si>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</si>
  <si>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</si>
  <si>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</si>
  <si>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</si>
  <si>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</si>
  <si>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</si>
  <si>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</si>
  <si>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</si>
  <si>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</si>
  <si>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</si>
  <si>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</si>
  <si>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</si>
  <si>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</si>
  <si>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</si>
  <si>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</si>
  <si>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</si>
  <si>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</si>
  <si>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</si>
  <si>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</si>
  <si>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</si>
  <si>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</si>
  <si>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</si>
  <si>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</si>
  <si>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</si>
  <si>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</si>
  <si>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</si>
  <si>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</si>
  <si>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</si>
  <si>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</si>
  <si>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</si>
  <si>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</si>
  <si>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</si>
  <si>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</si>
  <si>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</si>
  <si>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</si>
  <si>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</si>
  <si>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</si>
  <si>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</si>
  <si>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</si>
  <si>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</si>
  <si>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</si>
  <si>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</si>
  <si>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</si>
  <si>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</si>
  <si>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</si>
  <si>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</si>
  <si>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</si>
  <si>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</si>
  <si>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</si>
  <si>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</si>
  <si>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</si>
  <si>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</si>
  <si>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</si>
  <si>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</si>
  <si>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</si>
  <si>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</si>
  <si>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</si>
  <si>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</si>
  <si>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</si>
  <si>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</si>
  <si>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</si>
  <si>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</si>
  <si>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</si>
  <si>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</si>
  <si>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</si>
  <si>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</si>
  <si>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</si>
  <si>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</si>
  <si>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</si>
  <si>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</si>
  <si>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</si>
  <si>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</si>
  <si>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</si>
  <si>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</si>
  <si>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</si>
  <si>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</si>
  <si>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</si>
  <si>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</si>
  <si>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</si>
  <si>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</si>
  <si>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</si>
  <si>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</si>
  <si>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</si>
  <si>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</si>
  <si>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</si>
  <si>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</si>
  <si>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</si>
  <si>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</si>
  <si>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</si>
  <si>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</si>
  <si>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</si>
  <si>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</si>
  <si>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</si>
  <si>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</si>
  <si>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</si>
  <si>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</si>
  <si>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</si>
  <si>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</si>
  <si>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</si>
  <si>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</si>
  <si>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</si>
  <si>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</si>
  <si>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</si>
  <si>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</si>
  <si>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</si>
  <si>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</si>
  <si>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</si>
  <si>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</si>
  <si>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</si>
  <si>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</si>
  <si>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</si>
  <si>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</si>
  <si>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</si>
  <si>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</si>
  <si>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</si>
  <si>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</si>
  <si>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</si>
  <si>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</si>
  <si>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</si>
  <si>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</si>
  <si>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</si>
  <si>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</si>
  <si>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</si>
  <si>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</si>
  <si>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</si>
  <si>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</si>
  <si>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</si>
  <si>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</si>
  <si>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</si>
  <si>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</si>
  <si>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</si>
  <si>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</si>
  <si>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</si>
  <si>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</si>
  <si>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</si>
  <si>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</si>
  <si>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</si>
  <si>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</si>
  <si>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</si>
  <si>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</si>
  <si>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</si>
  <si>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</si>
  <si>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</si>
  <si>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</si>
  <si>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</si>
  <si>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</si>
  <si>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</si>
  <si>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</si>
  <si>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</si>
  <si>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</si>
  <si>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</si>
  <si>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</si>
  <si>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</si>
  <si>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</si>
  <si>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</si>
  <si>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</si>
  <si>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</si>
  <si>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</si>
  <si>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</si>
  <si>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</si>
  <si>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</si>
  <si>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</si>
  <si>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</si>
  <si>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</si>
  <si>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</si>
  <si>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</si>
  <si>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</si>
  <si>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</si>
  <si>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</si>
  <si>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</si>
  <si>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</si>
  <si>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</si>
  <si>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</si>
  <si>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</si>
  <si>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</si>
  <si>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</si>
  <si>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</si>
  <si>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</si>
  <si>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</si>
  <si>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</si>
  <si>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</si>
  <si>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</si>
  <si>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</si>
  <si>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</si>
  <si>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</si>
  <si>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</si>
  <si>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</si>
  <si>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</si>
  <si>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</si>
  <si>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</si>
  <si>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</si>
  <si>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</si>
  <si>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</si>
  <si>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</si>
  <si>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</si>
  <si>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</si>
  <si>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</si>
  <si>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</si>
  <si>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</si>
  <si>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</si>
  <si>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</si>
  <si>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</si>
  <si>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</si>
  <si>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</si>
  <si>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</si>
  <si>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</si>
  <si>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</si>
  <si>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</si>
  <si>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</si>
  <si>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</si>
  <si>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</si>
  <si>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</si>
  <si>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</si>
  <si>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</si>
  <si>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</si>
  <si>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</si>
  <si>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</si>
  <si>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</si>
  <si>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</si>
  <si>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</si>
  <si>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</si>
  <si>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</si>
  <si>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</si>
  <si>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</si>
  <si>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</si>
  <si>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</si>
  <si>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</si>
  <si>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</si>
  <si>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</si>
  <si>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</si>
  <si>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</si>
  <si>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</si>
  <si>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</si>
  <si>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</si>
  <si>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</si>
  <si>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</si>
  <si>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</si>
  <si>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</si>
  <si>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</si>
  <si>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</si>
  <si>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</si>
  <si>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</si>
  <si>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</si>
  <si>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</si>
  <si>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</si>
  <si>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</si>
  <si>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</si>
  <si>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</si>
  <si>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</si>
  <si>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</si>
  <si>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</si>
  <si>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</si>
  <si>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</si>
  <si>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</si>
  <si>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</si>
  <si>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</si>
  <si>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</si>
  <si>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</si>
  <si>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</si>
  <si>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</si>
  <si>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</si>
  <si>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</si>
  <si>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</si>
  <si>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</si>
  <si>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</si>
  <si>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</si>
  <si>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</si>
  <si>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</si>
  <si>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</si>
  <si>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</si>
  <si>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</si>
  <si>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</si>
  <si>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</si>
  <si>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</si>
  <si>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</si>
  <si>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</si>
  <si>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</si>
  <si>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</si>
  <si>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</si>
  <si>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</si>
  <si>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</si>
  <si>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</si>
  <si>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</si>
  <si>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</si>
  <si>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</si>
  <si>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</si>
  <si>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</si>
  <si>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</si>
  <si>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</si>
  <si>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</si>
  <si>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</si>
  <si>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</si>
  <si>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</si>
  <si>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</si>
  <si>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</si>
  <si>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</si>
  <si>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</si>
  <si>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</si>
  <si>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</si>
  <si>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</si>
  <si>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</si>
  <si>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</si>
  <si>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</si>
  <si>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</si>
  <si>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</si>
  <si>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</si>
  <si>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</si>
  <si>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</si>
  <si>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</si>
  <si>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</si>
  <si>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</si>
  <si>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</si>
  <si>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</si>
  <si>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</si>
  <si>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</si>
  <si>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</si>
  <si>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</si>
  <si>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</si>
  <si>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</si>
  <si>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</si>
  <si>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</si>
  <si>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</si>
  <si>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</si>
  <si>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</si>
  <si>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</si>
  <si>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</si>
  <si>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</si>
  <si>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</si>
  <si>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</si>
  <si>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</si>
  <si>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</si>
  <si>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</si>
  <si>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</si>
  <si>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</si>
  <si>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</si>
  <si>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</si>
  <si>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</si>
  <si>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</si>
  <si>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</si>
  <si>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</si>
  <si>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</si>
  <si>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</si>
  <si>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</si>
  <si>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</si>
  <si>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</si>
  <si>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</si>
  <si>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</si>
  <si>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</si>
  <si>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</si>
  <si>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</si>
  <si>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</si>
  <si>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</si>
  <si>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</si>
  <si>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</si>
  <si>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</si>
  <si>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</si>
  <si>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</si>
  <si>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</si>
  <si>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</si>
  <si>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</si>
  <si>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</si>
  <si>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</si>
  <si>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</si>
  <si>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</si>
  <si>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</si>
  <si>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</si>
  <si>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</si>
  <si>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</si>
  <si>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</si>
  <si>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</si>
  <si>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</si>
  <si>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</si>
  <si>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</si>
  <si>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</si>
  <si>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</si>
  <si>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</si>
  <si>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</si>
  <si>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</si>
  <si>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</si>
  <si>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</si>
  <si>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</si>
  <si>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</si>
  <si>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</si>
  <si>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</si>
  <si>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</si>
  <si>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</si>
  <si>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</si>
  <si>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</si>
  <si>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</si>
  <si>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</si>
  <si>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</si>
  <si>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</si>
  <si>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</si>
  <si>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</si>
  <si>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</si>
  <si>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</si>
  <si>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</si>
  <si>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</si>
  <si>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</si>
  <si>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</si>
  <si>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</si>
  <si>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</si>
  <si>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</si>
  <si>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</si>
  <si>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</si>
  <si>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</si>
  <si>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</si>
  <si>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</si>
  <si>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</si>
  <si>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</si>
  <si>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</si>
  <si>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</si>
  <si>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</si>
  <si>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</si>
  <si>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</si>
  <si>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</si>
  <si>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</si>
  <si>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</si>
  <si>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</si>
  <si>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</si>
  <si>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</si>
  <si>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</si>
  <si>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</si>
  <si>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</si>
  <si>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</si>
  <si>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</si>
  <si>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</si>
  <si>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</si>
  <si>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</si>
  <si>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</si>
  <si>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</si>
  <si>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</si>
  <si>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</si>
  <si>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</si>
  <si>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</si>
  <si>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</si>
  <si>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</si>
  <si>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</si>
  <si>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</si>
  <si>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</si>
  <si>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</si>
  <si>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</si>
  <si>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</si>
  <si>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</si>
  <si>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</si>
  <si>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</si>
  <si>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</si>
  <si>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</si>
  <si>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</si>
  <si>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</si>
  <si>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</si>
  <si>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</si>
  <si>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</si>
  <si>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</si>
  <si>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</si>
  <si>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</si>
  <si>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</si>
  <si>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</si>
  <si>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</si>
  <si>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</si>
  <si>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</si>
  <si>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</si>
  <si>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</si>
  <si>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</si>
  <si>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</si>
  <si>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</si>
  <si>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</si>
  <si>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</si>
  <si>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</si>
  <si>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</si>
  <si>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</si>
  <si>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</si>
  <si>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</si>
  <si>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</si>
  <si>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</si>
  <si>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</si>
  <si>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</si>
  <si>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</si>
  <si>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</si>
  <si>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</si>
  <si>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</si>
  <si>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</si>
  <si>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</si>
  <si>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</si>
  <si>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</si>
  <si>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</si>
  <si>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</si>
  <si>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</si>
  <si>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</si>
  <si>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</si>
  <si>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</si>
  <si>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</si>
  <si>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</si>
  <si>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</si>
  <si>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</si>
  <si>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</si>
  <si>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</si>
  <si>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</si>
  <si>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</si>
  <si>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</si>
  <si>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</si>
  <si>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</si>
  <si>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</si>
  <si>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</si>
  <si>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</si>
  <si>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</si>
  <si>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</si>
  <si>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</si>
  <si>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</si>
  <si>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</si>
  <si>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</si>
  <si>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</si>
  <si>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</si>
  <si>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</si>
  <si>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</si>
  <si>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</si>
  <si>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</si>
  <si>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</si>
  <si>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</si>
  <si>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</si>
  <si>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</si>
  <si>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</si>
  <si>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</si>
  <si>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</si>
  <si>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</si>
  <si>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</si>
  <si>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</si>
  <si>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</si>
  <si>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</si>
  <si>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</si>
  <si>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</si>
  <si>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</si>
  <si>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</si>
  <si>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</si>
  <si>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</si>
  <si>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</si>
  <si>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</si>
  <si>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</si>
  <si>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</si>
  <si>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</si>
  <si>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</si>
  <si>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</si>
  <si>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</si>
  <si>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</si>
  <si>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</si>
  <si>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</si>
  <si>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</si>
  <si>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</si>
  <si>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</si>
  <si>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</si>
  <si>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</si>
  <si>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</si>
  <si>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</si>
  <si>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</si>
  <si>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</si>
  <si>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</si>
  <si>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</si>
  <si>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</si>
  <si>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</si>
  <si>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</si>
  <si>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</si>
  <si>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</si>
  <si>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</si>
  <si>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</si>
  <si>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</si>
  <si>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</si>
  <si>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</si>
  <si>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</si>
  <si>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</si>
  <si>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</si>
  <si>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</si>
  <si>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</si>
  <si>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</si>
  <si>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</si>
  <si>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</si>
  <si>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</si>
  <si>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</si>
  <si>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</si>
  <si>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</si>
  <si>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</si>
  <si>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</si>
  <si>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</si>
  <si>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</si>
  <si>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</si>
  <si>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</si>
  <si>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</si>
  <si>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</si>
  <si>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</si>
  <si>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</si>
  <si>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</si>
  <si>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</si>
  <si>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</si>
  <si>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</si>
  <si>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</si>
  <si>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</si>
  <si>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</si>
  <si>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</si>
  <si>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</si>
  <si>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</si>
  <si>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</si>
  <si>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</si>
  <si>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</si>
  <si>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</si>
  <si>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</si>
  <si>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</si>
  <si>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</si>
  <si>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</si>
  <si>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</si>
  <si>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</si>
  <si>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</si>
  <si>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</si>
  <si>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</si>
  <si>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</si>
  <si>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</si>
  <si>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</si>
  <si>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</si>
  <si>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</si>
  <si>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</si>
  <si>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</si>
  <si>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</si>
  <si>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</si>
  <si>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</si>
  <si>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</si>
  <si>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</si>
  <si>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</si>
  <si>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</si>
  <si>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</si>
  <si>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</si>
  <si>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</si>
  <si>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</si>
  <si>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</si>
  <si>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</si>
  <si>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</si>
  <si>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</si>
  <si>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</si>
  <si>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</si>
  <si>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</si>
  <si>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</si>
  <si>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</si>
  <si>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</si>
  <si>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</si>
  <si>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</si>
  <si>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</si>
  <si>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</si>
  <si>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</si>
  <si>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</si>
  <si>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</si>
  <si>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</si>
  <si>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</si>
  <si>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</si>
  <si>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</si>
  <si>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</si>
  <si>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</si>
  <si>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</si>
  <si>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</si>
  <si>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</si>
  <si>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</si>
  <si>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</si>
  <si>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</si>
  <si>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</si>
  <si>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</si>
  <si>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</si>
  <si>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</si>
  <si>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</si>
  <si>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</si>
  <si>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</si>
  <si>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</si>
  <si>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</si>
  <si>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</si>
  <si>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</si>
  <si>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</si>
  <si>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</si>
  <si>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</si>
  <si>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</si>
  <si>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</si>
  <si>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</si>
  <si>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</si>
  <si>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</si>
  <si>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</si>
  <si>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</si>
  <si>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</si>
  <si>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</si>
  <si>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</si>
  <si>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</si>
  <si>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</si>
  <si>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</si>
  <si>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</si>
  <si>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</si>
  <si>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</si>
  <si>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</si>
  <si>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</si>
  <si>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</si>
  <si>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</si>
  <si>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</si>
  <si>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</si>
  <si>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</si>
  <si>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</si>
  <si>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</si>
  <si>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</si>
  <si>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</si>
  <si>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</si>
  <si>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</si>
  <si>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</si>
  <si>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</si>
  <si>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</si>
  <si>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</si>
  <si>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</si>
  <si>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</si>
  <si>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</si>
  <si>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</si>
  <si>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</si>
  <si>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</si>
  <si>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</si>
  <si>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</si>
  <si>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</si>
  <si>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</si>
  <si>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</si>
  <si>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</si>
  <si>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</si>
  <si>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</si>
  <si>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</si>
  <si>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</si>
  <si>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</si>
  <si>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</si>
  <si>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</si>
  <si>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</si>
  <si>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</si>
  <si>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</si>
  <si>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</si>
  <si>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</si>
  <si>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</si>
  <si>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</si>
  <si>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</si>
  <si>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</si>
  <si>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</si>
  <si>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</si>
  <si>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</si>
  <si>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</si>
  <si>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</si>
  <si>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</si>
  <si>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</si>
  <si>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</si>
  <si>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</si>
  <si>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</si>
  <si>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</si>
  <si>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</si>
  <si>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</si>
  <si>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</si>
  <si>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</si>
  <si>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</si>
  <si>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</si>
  <si>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</si>
  <si>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</si>
  <si>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</si>
  <si>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</si>
  <si>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</si>
  <si>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</si>
  <si>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</si>
  <si>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</si>
  <si>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</si>
  <si>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</si>
  <si>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</si>
  <si>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</si>
  <si>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</si>
  <si>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</si>
  <si>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</si>
  <si>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</si>
  <si>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</si>
  <si>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</si>
  <si>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</si>
  <si>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</si>
  <si>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</si>
  <si>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</si>
  <si>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</si>
  <si>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</si>
  <si>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</si>
  <si>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</si>
  <si>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</si>
  <si>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</si>
  <si>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</si>
  <si>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</si>
  <si>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</si>
  <si>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</si>
  <si>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</si>
  <si>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</si>
  <si>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</si>
  <si>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</si>
  <si>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</si>
  <si>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</si>
  <si>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</si>
  <si>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</si>
  <si>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</si>
  <si>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</si>
  <si>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</si>
  <si>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</si>
  <si>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</si>
  <si>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</si>
  <si>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</si>
  <si>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</si>
  <si>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</si>
  <si>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</si>
  <si>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</si>
  <si>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</si>
  <si>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</si>
  <si>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</si>
  <si>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</si>
  <si>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</si>
  <si>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</si>
  <si>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</si>
  <si>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</si>
  <si>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</si>
  <si>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</si>
  <si>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</si>
  <si>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</si>
  <si>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</si>
  <si>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</si>
  <si>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</si>
  <si>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</si>
  <si>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</si>
  <si>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</si>
  <si>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</si>
  <si>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</si>
  <si>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</si>
  <si>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</si>
  <si>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</si>
  <si>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</si>
  <si>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</si>
  <si>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</si>
  <si>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</si>
  <si>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</si>
  <si>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</si>
  <si>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</si>
  <si>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</si>
  <si>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</si>
  <si>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</si>
  <si>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</si>
  <si>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</si>
  <si>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</si>
  <si>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</si>
  <si>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</si>
  <si>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</si>
  <si>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</si>
  <si>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</si>
  <si>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</si>
  <si>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</si>
  <si>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</si>
  <si>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</si>
  <si>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</si>
  <si>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</si>
  <si>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</si>
  <si>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</si>
  <si>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</si>
  <si>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</si>
  <si>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</si>
  <si>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</si>
  <si>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</si>
  <si>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</si>
  <si>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</si>
  <si>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</si>
  <si>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</si>
  <si>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</si>
  <si>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</si>
  <si>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</si>
  <si>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</si>
  <si>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</si>
  <si>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</si>
  <si>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</si>
  <si>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</si>
  <si>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</si>
  <si>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</si>
  <si>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</si>
  <si>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</si>
  <si>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</si>
  <si>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</si>
  <si>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</si>
  <si>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</si>
  <si>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</si>
  <si>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</si>
  <si>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</si>
  <si>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</si>
  <si>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</si>
  <si>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</si>
  <si>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</si>
  <si>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</si>
  <si>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</si>
  <si>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</si>
  <si>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</si>
  <si>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</si>
  <si>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</si>
  <si>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</si>
  <si>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</si>
  <si>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</si>
  <si>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</si>
  <si>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</si>
  <si>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</si>
  <si>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</si>
  <si>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</si>
  <si>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</si>
  <si>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</si>
  <si>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</si>
  <si>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</si>
  <si>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</si>
  <si>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</si>
  <si>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</si>
  <si>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</si>
  <si>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</si>
  <si>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</si>
  <si>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</si>
  <si>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</si>
  <si>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</si>
  <si>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</si>
  <si>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</si>
  <si>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</si>
  <si>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</si>
  <si>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</si>
  <si>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</si>
  <si>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</si>
  <si>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</si>
  <si>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</si>
  <si>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</si>
  <si>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</si>
  <si>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</si>
  <si>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</si>
  <si>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</si>
  <si>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</si>
  <si>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</si>
  <si>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</si>
  <si>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</si>
  <si>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</si>
  <si>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</si>
  <si>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</si>
  <si>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</si>
  <si>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</si>
  <si>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</si>
  <si>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</si>
  <si>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</si>
  <si>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</si>
  <si>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</si>
  <si>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</si>
  <si>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</si>
  <si>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</si>
  <si>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</si>
  <si>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</si>
  <si>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</si>
  <si>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</si>
  <si>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</si>
  <si>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</si>
  <si>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</si>
  <si>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</si>
  <si>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</si>
  <si>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</si>
  <si>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</si>
  <si>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</si>
  <si>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</si>
  <si>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</si>
  <si>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</si>
  <si>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</si>
  <si>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</si>
  <si>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</si>
  <si>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</si>
  <si>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</si>
  <si>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</si>
  <si>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</si>
  <si>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</si>
  <si>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</si>
  <si>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</si>
  <si>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</si>
  <si>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</si>
  <si>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</si>
  <si>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</si>
  <si>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</si>
  <si>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</si>
  <si>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</si>
  <si>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</si>
  <si>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</si>
  <si>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</si>
  <si>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</si>
  <si>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</si>
  <si>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</si>
  <si>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</si>
  <si>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</si>
  <si>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</si>
  <si>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</si>
  <si>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</si>
  <si>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</si>
  <si>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</si>
  <si>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</si>
  <si>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</si>
  <si>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</si>
  <si>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</si>
  <si>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</si>
  <si>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</si>
  <si>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</si>
  <si>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</si>
  <si>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</si>
  <si>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</si>
  <si>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</si>
  <si>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</si>
  <si>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</si>
  <si>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</si>
  <si>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</si>
  <si>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</si>
  <si>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</si>
  <si>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</si>
  <si>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</si>
  <si>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</si>
  <si>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</si>
  <si>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</si>
  <si>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</si>
  <si>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</si>
  <si>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</si>
  <si>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</si>
  <si>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</si>
  <si>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</si>
  <si>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</si>
  <si>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</si>
  <si>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</si>
  <si>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</si>
  <si>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</si>
  <si>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</si>
  <si>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</si>
  <si>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</si>
  <si>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</si>
  <si>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</si>
  <si>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</si>
  <si>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</si>
  <si>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</si>
  <si>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</si>
  <si>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</si>
  <si>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</si>
  <si>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</si>
  <si>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</si>
  <si>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</si>
  <si>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</si>
  <si>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</si>
  <si>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</si>
  <si>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</si>
  <si>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</si>
  <si>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</si>
  <si>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</si>
  <si>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</si>
  <si>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</si>
  <si>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</si>
  <si>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</si>
  <si>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</si>
  <si>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</si>
  <si>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</si>
  <si>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</si>
  <si>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</si>
  <si>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</si>
  <si>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</si>
  <si>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</si>
  <si>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</si>
  <si>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</si>
  <si>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</si>
  <si>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</si>
  <si>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</si>
  <si>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</si>
  <si>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</si>
  <si>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</si>
  <si>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</si>
  <si>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</si>
  <si>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</si>
  <si>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</si>
  <si>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</si>
  <si>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</si>
  <si>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</si>
  <si>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</si>
  <si>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</si>
  <si>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</si>
  <si>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</si>
  <si>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</si>
  <si>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</si>
  <si>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</si>
  <si>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</si>
  <si>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</si>
  <si>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</si>
  <si>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</si>
  <si>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</si>
  <si>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</si>
  <si>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</si>
  <si>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</si>
  <si>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</si>
  <si>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</si>
  <si>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</si>
  <si>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</si>
  <si>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</si>
  <si>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</si>
  <si>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</si>
  <si>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</si>
  <si>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</si>
  <si>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</si>
  <si>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</si>
  <si>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</si>
  <si>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</si>
  <si>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</si>
  <si>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</si>
  <si>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</si>
  <si>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</si>
  <si>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</si>
  <si>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</si>
  <si>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</si>
  <si>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</si>
  <si>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</si>
  <si>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</si>
  <si>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</si>
  <si>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</si>
  <si>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</si>
  <si>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</si>
  <si>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</si>
  <si>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</si>
  <si>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</si>
  <si>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</si>
  <si>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</si>
  <si>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</si>
  <si>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</si>
  <si>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</si>
  <si>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</si>
  <si>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</si>
  <si>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</si>
  <si>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</si>
  <si>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</si>
  <si>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</si>
  <si>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</si>
  <si>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</si>
  <si>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</si>
  <si>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</si>
  <si>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</si>
  <si>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</si>
  <si>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</si>
  <si>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</si>
  <si>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</si>
  <si>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</si>
  <si>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</si>
  <si>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</si>
  <si>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</si>
  <si>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</si>
  <si>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</si>
  <si>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</si>
  <si>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</si>
  <si>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</si>
  <si>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</si>
  <si>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</si>
  <si>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</si>
  <si>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</si>
  <si>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</si>
  <si>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</si>
  <si>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</si>
  <si>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</si>
  <si>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</si>
  <si>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</si>
  <si>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</si>
  <si>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</si>
  <si>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</si>
  <si>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</si>
  <si>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</si>
  <si>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</si>
  <si>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</si>
  <si>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</si>
  <si>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</si>
  <si>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</si>
  <si>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</si>
  <si>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</si>
  <si>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</si>
  <si>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</si>
  <si>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</si>
  <si>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</si>
  <si>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</si>
  <si>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</si>
  <si>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</si>
  <si>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</si>
  <si>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</si>
  <si>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</si>
  <si>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</si>
  <si>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</si>
  <si>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</si>
  <si>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</si>
  <si>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</si>
  <si>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</si>
  <si>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</si>
  <si>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</si>
  <si>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</si>
  <si>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</si>
  <si>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</si>
  <si>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</si>
  <si>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</si>
  <si>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</si>
  <si>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</si>
  <si>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</si>
  <si>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</si>
  <si>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</si>
  <si>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</si>
  <si>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</si>
  <si>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</si>
  <si>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</si>
  <si>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</si>
  <si>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</si>
  <si>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</si>
  <si>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</si>
  <si>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</si>
  <si>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</si>
  <si>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</si>
  <si>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</si>
  <si>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</si>
  <si>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</si>
  <si>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</si>
  <si>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</si>
  <si>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</si>
  <si>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</si>
  <si>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</si>
  <si>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</si>
  <si>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</si>
  <si>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</si>
  <si>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</si>
  <si>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</si>
  <si>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</si>
  <si>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</si>
  <si>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</si>
  <si>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</si>
  <si>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</si>
  <si>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</si>
  <si>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</si>
  <si>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</si>
  <si>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</si>
  <si>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</si>
  <si>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</si>
  <si>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</si>
  <si>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</si>
  <si>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</si>
  <si>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</si>
  <si>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</si>
  <si>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</si>
  <si>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</si>
  <si>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</si>
  <si>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</si>
  <si>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</si>
  <si>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</si>
  <si>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</si>
  <si>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</si>
  <si>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</si>
  <si>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</si>
  <si>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</si>
  <si>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</si>
  <si>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</si>
  <si>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</si>
  <si>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</si>
  <si>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</si>
  <si>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</si>
  <si>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</si>
  <si>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</si>
  <si>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</si>
  <si>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</si>
  <si>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</si>
  <si>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</si>
  <si>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</si>
  <si>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</si>
  <si>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</si>
  <si>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</si>
  <si>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</si>
  <si>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</si>
  <si>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</si>
  <si>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</si>
  <si>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</si>
  <si>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</si>
  <si>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</si>
  <si>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</si>
  <si>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</si>
  <si>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</si>
  <si>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</si>
  <si>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</si>
  <si>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</si>
  <si>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</si>
  <si>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</si>
  <si>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</si>
  <si>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</si>
  <si>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</si>
  <si>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</si>
  <si>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</si>
  <si>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</si>
  <si>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</si>
  <si>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</si>
  <si>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</si>
  <si>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</si>
  <si>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</si>
  <si>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</si>
  <si>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</si>
  <si>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</si>
  <si>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</si>
  <si>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</si>
  <si>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</si>
  <si>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</si>
  <si>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</si>
  <si>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</si>
  <si>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</si>
  <si>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</si>
  <si>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</si>
  <si>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</si>
  <si>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</si>
  <si>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</si>
  <si>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</si>
  <si>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</si>
  <si>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</si>
  <si>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</si>
  <si>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</si>
  <si>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</si>
  <si>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</si>
  <si>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</si>
  <si>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</si>
  <si>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</si>
  <si>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</si>
  <si>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</si>
  <si>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</si>
  <si>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</si>
  <si>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</si>
  <si>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</si>
  <si>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</si>
  <si>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</si>
  <si>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</si>
  <si>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</si>
  <si>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</si>
  <si>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</si>
  <si>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</si>
  <si>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</si>
  <si>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</si>
  <si>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</si>
  <si>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</si>
  <si>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</si>
  <si>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</si>
  <si>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</si>
  <si>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</si>
  <si>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</si>
  <si>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</si>
  <si>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</si>
  <si>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</si>
  <si>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</si>
  <si>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</si>
  <si>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</si>
  <si>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</si>
  <si>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</si>
  <si>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</si>
  <si>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</si>
  <si>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</si>
  <si>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</si>
  <si>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</si>
  <si>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</si>
  <si>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</si>
  <si>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</si>
  <si>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</si>
  <si>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</si>
  <si>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</si>
  <si>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</si>
  <si>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</si>
  <si>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</si>
  <si>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</si>
  <si>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</si>
  <si>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</si>
  <si>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</si>
  <si>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</si>
  <si>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</si>
  <si>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</si>
  <si>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</si>
  <si>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</si>
  <si>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</si>
  <si>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</si>
  <si>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</si>
  <si>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</si>
  <si>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</si>
  <si>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</si>
  <si>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</si>
  <si>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</si>
  <si>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</si>
  <si>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</si>
  <si>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</si>
  <si>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</si>
  <si>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</si>
  <si>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</si>
  <si>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</si>
  <si>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</si>
  <si>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</si>
  <si>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</si>
  <si>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</si>
  <si>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</si>
  <si>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</si>
  <si>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</si>
  <si>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</si>
  <si>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</si>
  <si>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</si>
  <si>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</si>
  <si>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</si>
  <si>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</si>
  <si>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</si>
  <si>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</si>
  <si>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</si>
  <si>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</si>
  <si>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</si>
  <si>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</si>
  <si>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</si>
  <si>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</si>
  <si>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</si>
  <si>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</si>
  <si>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</si>
  <si>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</si>
  <si>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</si>
  <si>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</si>
  <si>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</si>
  <si>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</si>
  <si>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</si>
  <si>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</si>
  <si>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</si>
  <si>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</si>
  <si>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</si>
  <si>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</si>
  <si>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</si>
  <si>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</si>
  <si>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</si>
  <si>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</si>
  <si>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</si>
  <si>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</si>
  <si>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</si>
  <si>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</si>
  <si>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</si>
  <si>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</si>
  <si>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</si>
  <si>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</si>
  <si>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</si>
  <si>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</si>
  <si>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</si>
  <si>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</si>
  <si>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</si>
  <si>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</si>
  <si>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</si>
  <si>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</si>
  <si>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</si>
  <si>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</si>
  <si>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</si>
  <si>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</si>
  <si>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</si>
  <si>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</si>
  <si>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</si>
  <si>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</si>
  <si>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</si>
  <si>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</si>
  <si>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</si>
  <si>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</si>
  <si>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</si>
  <si>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</si>
  <si>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</si>
  <si>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</si>
  <si>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</si>
  <si>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</si>
  <si>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</si>
  <si>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</si>
  <si>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</si>
  <si>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</si>
  <si>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</si>
  <si>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</si>
  <si>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</si>
  <si>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</si>
  <si>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</si>
  <si>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</si>
  <si>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</si>
  <si>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</si>
  <si>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</si>
  <si>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</si>
  <si>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</si>
  <si>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</si>
  <si>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</si>
  <si>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</si>
  <si>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</si>
  <si>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</si>
  <si>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</si>
  <si>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</si>
  <si>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</si>
  <si>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</si>
  <si>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</si>
  <si>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</si>
  <si>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</si>
  <si>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</si>
  <si>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</si>
  <si>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</si>
  <si>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</si>
  <si>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</si>
  <si>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</si>
  <si>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</si>
  <si>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</si>
  <si>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</si>
  <si>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</si>
  <si>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</si>
  <si>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</si>
  <si>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</si>
  <si>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</si>
  <si>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</si>
  <si>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</si>
  <si>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</si>
  <si>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</si>
  <si>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</si>
  <si>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</si>
  <si>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</si>
  <si>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</si>
  <si>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</si>
  <si>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</si>
  <si>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</si>
  <si>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</si>
  <si>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</si>
  <si>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</si>
  <si>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</si>
  <si>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</si>
  <si>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</si>
  <si>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</si>
  <si>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</si>
  <si>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</si>
  <si>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</si>
  <si>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</si>
  <si>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</si>
  <si>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</si>
  <si>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</si>
  <si>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</si>
  <si>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</si>
  <si>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</si>
  <si>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</si>
  <si>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</si>
  <si>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</si>
  <si>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</si>
  <si>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</si>
  <si>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</si>
  <si>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</si>
  <si>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</si>
  <si>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</si>
  <si>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</si>
  <si>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</si>
  <si>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</si>
  <si>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</si>
  <si>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</si>
  <si>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</si>
  <si>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</si>
  <si>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</si>
  <si>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</si>
  <si>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</si>
  <si>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</si>
  <si>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</si>
  <si>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</si>
  <si>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</si>
  <si>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</si>
  <si>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</si>
  <si>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</si>
  <si>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</si>
  <si>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</si>
  <si>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</si>
  <si>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</si>
  <si>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</si>
  <si>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</si>
  <si>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</si>
  <si>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</si>
  <si>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</si>
  <si>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</si>
  <si>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</si>
  <si>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</si>
  <si>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</si>
  <si>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</si>
  <si>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</si>
  <si>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</si>
  <si>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</si>
  <si>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</si>
  <si>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</si>
  <si>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</si>
  <si>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</si>
  <si>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</si>
  <si>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</si>
  <si>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</si>
  <si>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</si>
  <si>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</si>
  <si>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</si>
  <si>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</si>
  <si>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</si>
  <si>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</si>
  <si>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</si>
  <si>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</si>
  <si>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</si>
  <si>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</si>
  <si>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</si>
  <si>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</si>
  <si>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</si>
  <si>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</si>
  <si>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</si>
  <si>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</si>
  <si>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</si>
  <si>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</si>
  <si>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</si>
  <si>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</si>
  <si>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</si>
  <si>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</si>
  <si>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</si>
  <si>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</si>
  <si>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</si>
  <si>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</si>
  <si>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</si>
  <si>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</si>
  <si>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</si>
  <si>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</si>
  <si>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</si>
  <si>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</si>
  <si>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</si>
  <si>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</si>
  <si>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</si>
  <si>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</si>
  <si>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</si>
  <si>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</si>
  <si>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</si>
  <si>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</si>
  <si>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</si>
  <si>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</si>
  <si>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</si>
  <si>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</si>
  <si>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</si>
  <si>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</si>
  <si>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</si>
  <si>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</si>
  <si>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</si>
  <si>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</si>
  <si>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</si>
  <si>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</si>
  <si>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</si>
  <si>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</si>
  <si>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</si>
  <si>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</si>
  <si>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</si>
  <si>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</si>
  <si>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</si>
  <si>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</si>
  <si>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</si>
  <si>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</si>
  <si>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</si>
  <si>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</si>
  <si>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</si>
  <si>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</si>
  <si>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</si>
  <si>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</si>
  <si>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</si>
  <si>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</si>
  <si>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</si>
  <si>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</si>
  <si>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</si>
  <si>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</si>
  <si>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</si>
  <si>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</si>
  <si>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</si>
  <si>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</si>
  <si>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</si>
  <si>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</si>
  <si>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</si>
  <si>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</si>
  <si>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</si>
  <si>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</si>
  <si>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</si>
  <si>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</si>
  <si>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</si>
  <si>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</si>
  <si>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</si>
  <si>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</si>
  <si>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</si>
  <si>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</si>
  <si>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</si>
  <si>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</si>
  <si>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</si>
  <si>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</si>
  <si>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</si>
  <si>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</si>
  <si>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</si>
  <si>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</si>
  <si>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</si>
  <si>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</si>
  <si>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</si>
  <si>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</si>
  <si>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</si>
  <si>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</si>
  <si>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</si>
  <si>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</si>
  <si>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</si>
  <si>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</si>
  <si>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</si>
  <si>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</si>
  <si>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</si>
  <si>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</si>
  <si>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</si>
  <si>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</si>
  <si>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</si>
  <si>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</si>
  <si>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</si>
  <si>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</si>
  <si>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</si>
  <si>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</si>
  <si>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</si>
  <si>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</si>
  <si>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</si>
  <si>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</si>
  <si>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</si>
  <si>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</si>
  <si>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</si>
  <si>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</si>
  <si>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</si>
  <si>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</si>
  <si>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</si>
  <si>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</si>
  <si>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</si>
  <si>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</si>
  <si>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</si>
  <si>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</si>
  <si>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</si>
  <si>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</si>
  <si>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</si>
  <si>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</si>
  <si>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</si>
  <si>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</si>
  <si>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</si>
  <si>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</si>
  <si>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</si>
  <si>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</si>
  <si>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</si>
  <si>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</si>
  <si>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</si>
  <si>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</si>
  <si>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</si>
  <si>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</si>
  <si>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</si>
  <si>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</si>
  <si>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</si>
  <si>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</si>
  <si>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</si>
  <si>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</si>
  <si>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</si>
  <si>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</si>
  <si>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</si>
  <si>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</si>
  <si>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</si>
  <si>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</si>
  <si>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</si>
  <si>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</si>
  <si>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</si>
  <si>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</si>
  <si>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</si>
  <si>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</si>
  <si>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</si>
  <si>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</si>
  <si>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</si>
  <si>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</si>
  <si>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</si>
  <si>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</si>
  <si>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</si>
  <si>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</si>
  <si>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</si>
  <si>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</si>
  <si>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</si>
  <si>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</si>
  <si>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</si>
  <si>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</si>
  <si>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</si>
  <si>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</si>
  <si>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</si>
  <si>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</si>
  <si>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</si>
  <si>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</si>
  <si>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</si>
  <si>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</si>
  <si>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</si>
  <si>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</si>
  <si>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</si>
  <si>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</si>
  <si>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</si>
  <si>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</si>
  <si>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</si>
  <si>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</si>
  <si>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</si>
  <si>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</si>
  <si>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</si>
  <si>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</si>
  <si>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</si>
  <si>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</si>
  <si>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</si>
  <si>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</si>
  <si>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</si>
  <si>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</si>
  <si>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</si>
  <si>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</si>
  <si>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</si>
  <si>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</si>
  <si>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</si>
  <si>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</si>
  <si>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</si>
  <si>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</si>
  <si>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</si>
  <si>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</si>
  <si>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</si>
  <si>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</si>
  <si>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</si>
  <si>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</si>
  <si>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</si>
  <si>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</si>
  <si>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</si>
  <si>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</si>
  <si>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</si>
  <si>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</si>
  <si>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</si>
  <si>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</si>
  <si>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</si>
  <si>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</si>
  <si>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</si>
  <si>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</si>
  <si>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</si>
  <si>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</si>
  <si>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</si>
  <si>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</si>
  <si>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</si>
  <si>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</si>
  <si>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</si>
  <si>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</si>
  <si>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</si>
  <si>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</si>
  <si>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</si>
  <si>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</si>
  <si>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</si>
  <si>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</si>
  <si>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</si>
  <si>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</si>
  <si>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</si>
  <si>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</si>
  <si>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</si>
  <si>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</si>
  <si>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</si>
  <si>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</si>
  <si>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</si>
  <si>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</si>
  <si>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</si>
  <si>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</si>
  <si>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</si>
  <si>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</si>
  <si>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</si>
  <si>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</si>
  <si>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</si>
  <si>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</si>
  <si>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</si>
  <si>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</si>
  <si>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</si>
  <si>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</si>
  <si>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</si>
  <si>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</si>
  <si>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</si>
  <si>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</si>
  <si>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</si>
  <si>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</si>
  <si>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</si>
  <si>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</si>
  <si>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</si>
  <si>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</si>
  <si>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</si>
  <si>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</si>
  <si>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</si>
  <si>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</si>
  <si>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</si>
  <si>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</si>
  <si>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</si>
  <si>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</si>
  <si>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</si>
  <si>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</si>
  <si>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</si>
  <si>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</si>
  <si>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</si>
  <si>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</si>
  <si>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</si>
  <si>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</si>
  <si>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</si>
  <si>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</si>
  <si>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</si>
  <si>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</si>
  <si>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</si>
  <si>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</si>
  <si>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</si>
  <si>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</si>
  <si>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</si>
  <si>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</si>
  <si>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</si>
  <si>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</si>
  <si>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</si>
  <si>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</si>
  <si>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</si>
  <si>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</si>
  <si>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</si>
  <si>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</si>
  <si>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</si>
  <si>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</si>
  <si>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</si>
  <si>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</si>
  <si>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</si>
  <si>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</si>
  <si>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</si>
  <si>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</si>
  <si>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</si>
  <si>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</si>
  <si>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</si>
  <si>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</si>
  <si>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</si>
  <si>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</si>
  <si>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</si>
  <si>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</si>
  <si>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</si>
  <si>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</si>
  <si>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</si>
  <si>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</si>
  <si>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</si>
  <si>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</si>
  <si>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</si>
  <si>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</si>
  <si>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</si>
  <si>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</si>
  <si>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</si>
  <si>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</si>
  <si>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</si>
  <si>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</si>
  <si>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</si>
  <si>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</si>
  <si>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</si>
  <si>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</si>
  <si>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</si>
  <si>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</si>
  <si>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</si>
  <si>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</si>
  <si>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</si>
  <si>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</si>
  <si>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</si>
  <si>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</si>
  <si>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</si>
  <si>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</si>
  <si>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</si>
  <si>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</si>
  <si>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</si>
  <si>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</si>
  <si>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</si>
  <si>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</si>
  <si>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</si>
  <si>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</si>
  <si>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</si>
  <si>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</si>
  <si>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</si>
  <si>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</si>
  <si>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</si>
  <si>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</si>
  <si>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</si>
  <si>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</si>
  <si>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</si>
  <si>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</si>
  <si>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</si>
  <si>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</si>
  <si>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</si>
  <si>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</si>
  <si>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</si>
  <si>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</si>
  <si>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</si>
  <si>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</si>
  <si>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</si>
  <si>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</si>
  <si>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</si>
  <si>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</si>
  <si>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</si>
  <si>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</si>
  <si>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</si>
  <si>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</si>
  <si>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</si>
  <si>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</si>
  <si>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</si>
  <si>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</si>
  <si>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</si>
  <si>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</si>
  <si>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</si>
  <si>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</si>
  <si>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</si>
  <si>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</si>
  <si>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</si>
  <si>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</si>
  <si>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</si>
  <si>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</si>
  <si>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</si>
  <si>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</si>
  <si>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</si>
  <si>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</si>
  <si>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</si>
  <si>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</si>
  <si>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</si>
  <si>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</si>
  <si>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</si>
  <si>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</si>
  <si>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</si>
  <si>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</si>
  <si>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</si>
  <si>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</si>
  <si>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</si>
  <si>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</si>
  <si>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</si>
  <si>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</si>
  <si>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</si>
  <si>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</si>
  <si>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</si>
  <si>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</si>
  <si>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</si>
  <si>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</si>
  <si>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</si>
  <si>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</si>
  <si>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</si>
  <si>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</si>
  <si>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</si>
  <si>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</si>
  <si>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</si>
  <si>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</si>
  <si>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</si>
  <si>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</si>
  <si>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</si>
  <si>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</si>
  <si>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</si>
  <si>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</si>
  <si>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</si>
  <si>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</si>
  <si>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</si>
  <si>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</si>
  <si>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</si>
  <si>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</si>
  <si>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</si>
  <si>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</si>
  <si>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</si>
  <si>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</si>
  <si>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</si>
  <si>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</si>
  <si>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</si>
  <si>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</si>
  <si>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</si>
  <si>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</si>
  <si>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</si>
  <si>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</si>
  <si>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</si>
  <si>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</si>
  <si>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</si>
  <si>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</si>
  <si>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</si>
  <si>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</si>
  <si>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</si>
  <si>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</si>
  <si>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</si>
  <si>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</si>
  <si>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</si>
  <si>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</si>
  <si>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</si>
  <si>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</si>
  <si>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</si>
  <si>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</si>
  <si>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</si>
  <si>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</si>
  <si>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</si>
  <si>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</si>
  <si>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</si>
  <si>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</si>
  <si>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</si>
  <si>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</si>
  <si>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</si>
  <si>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</si>
  <si>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</si>
  <si>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</si>
  <si>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</si>
  <si>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</si>
  <si>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</si>
  <si>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</si>
  <si>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</si>
  <si>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</si>
  <si>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</si>
  <si>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</si>
  <si>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</si>
  <si>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</si>
  <si>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</si>
  <si>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</si>
  <si>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</si>
  <si>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</si>
  <si>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</si>
  <si>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</si>
  <si>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</si>
  <si>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</si>
  <si>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</si>
  <si>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</si>
  <si>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</si>
  <si>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</si>
  <si>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</si>
  <si>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</si>
  <si>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</si>
  <si>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</si>
  <si>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</si>
  <si>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</si>
  <si>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</si>
  <si>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</si>
  <si>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</si>
  <si>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</si>
  <si>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</si>
  <si>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</si>
  <si>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</si>
  <si>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</si>
  <si>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</si>
  <si>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</si>
  <si>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</si>
  <si>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</si>
  <si>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</si>
  <si>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</si>
  <si>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</si>
  <si>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</si>
  <si>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</si>
  <si>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</si>
  <si>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</si>
  <si>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</si>
  <si>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</si>
  <si>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</si>
  <si>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</si>
  <si>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</si>
  <si>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</si>
  <si>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</si>
  <si>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</si>
  <si>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</si>
  <si>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</si>
  <si>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</si>
  <si>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</si>
  <si>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</si>
  <si>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</si>
  <si>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</si>
  <si>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</si>
  <si>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</si>
  <si>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</si>
  <si>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</si>
  <si>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</si>
  <si>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</si>
  <si>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</si>
  <si>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</si>
  <si>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</si>
  <si>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</si>
  <si>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</si>
  <si>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</si>
  <si>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</si>
  <si>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</si>
  <si>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</si>
  <si>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</si>
  <si>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</si>
  <si>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</si>
  <si>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</si>
  <si>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</si>
  <si>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</si>
  <si>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</si>
  <si>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</si>
  <si>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</si>
  <si>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</si>
  <si>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</si>
  <si>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</si>
  <si>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</si>
  <si>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</si>
  <si>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</si>
  <si>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</si>
  <si>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</si>
  <si>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</si>
  <si>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</si>
  <si>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</si>
  <si>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</si>
  <si>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</si>
  <si>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</si>
  <si>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</si>
  <si>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</si>
  <si>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</si>
  <si>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</si>
  <si>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</si>
  <si>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</si>
  <si>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</si>
  <si>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</si>
  <si>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</si>
  <si>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</si>
  <si>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</si>
  <si>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</si>
  <si>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</si>
  <si>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</si>
  <si>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</si>
  <si>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</si>
  <si>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</si>
  <si>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</si>
  <si>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</si>
  <si>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</si>
  <si>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</si>
  <si>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</si>
  <si>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</si>
  <si>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</si>
  <si>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</si>
  <si>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</si>
  <si>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</si>
  <si>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</si>
  <si>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</si>
  <si>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</si>
  <si>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</si>
  <si>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</si>
  <si>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</si>
  <si>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</si>
  <si>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</si>
  <si>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</si>
  <si>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</si>
  <si>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</si>
  <si>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</si>
  <si>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</si>
  <si>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</si>
  <si>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</si>
  <si>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</si>
  <si>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</si>
  <si>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</si>
  <si>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</si>
  <si>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</si>
  <si>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</si>
  <si>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</si>
  <si>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</si>
  <si>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</si>
  <si>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</si>
  <si>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</si>
  <si>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</si>
  <si>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</si>
  <si>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</si>
  <si>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</si>
  <si>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</si>
  <si>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</si>
  <si>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</si>
  <si>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</si>
  <si>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</si>
  <si>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</si>
  <si>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</si>
  <si>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</si>
  <si>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</si>
  <si>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</si>
  <si>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</si>
  <si>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</si>
  <si>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</si>
  <si>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</si>
  <si>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</si>
  <si>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</si>
  <si>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</si>
  <si>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</si>
  <si>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</si>
  <si>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</si>
  <si>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</si>
  <si>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</si>
  <si>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</si>
  <si>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</si>
  <si>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</si>
  <si>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</si>
  <si>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</si>
  <si>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</si>
  <si>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</si>
  <si>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</si>
  <si>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</si>
  <si>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</si>
  <si>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</si>
  <si>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</si>
  <si>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</si>
  <si>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</si>
  <si>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</si>
  <si>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</si>
  <si>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</si>
  <si>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</si>
  <si>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</si>
  <si>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</si>
  <si>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</si>
  <si>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</si>
  <si>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</si>
  <si>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</si>
  <si>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</si>
  <si>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</si>
  <si>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</si>
  <si>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</si>
  <si>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</si>
  <si>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</si>
  <si>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</si>
  <si>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</si>
  <si>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</si>
  <si>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</si>
  <si>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</si>
  <si>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</si>
  <si>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</si>
  <si>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</si>
  <si>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</si>
  <si>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</si>
  <si>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</si>
  <si>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</si>
  <si>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</si>
  <si>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</si>
  <si>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</si>
  <si>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</si>
  <si>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</si>
  <si>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</si>
  <si>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</si>
  <si>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</si>
  <si>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</si>
  <si>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</si>
  <si>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</si>
  <si>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</si>
  <si>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</si>
  <si>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</si>
  <si>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</si>
  <si>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</si>
  <si>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</si>
  <si>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</si>
  <si>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</si>
  <si>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</si>
  <si>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</si>
  <si>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</si>
  <si>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</si>
  <si>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</si>
  <si>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</si>
  <si>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</si>
  <si>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</si>
  <si>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</si>
  <si>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</si>
  <si>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</si>
  <si>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</si>
  <si>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</si>
  <si>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</si>
  <si>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</si>
  <si>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</si>
  <si>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</si>
  <si>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</si>
  <si>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</si>
  <si>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</si>
  <si>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</si>
  <si>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</si>
  <si>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</si>
  <si>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</si>
  <si>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</si>
  <si>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</si>
  <si>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</si>
  <si>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</si>
  <si>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</si>
  <si>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</si>
  <si>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</si>
  <si>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</si>
  <si>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</si>
  <si>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</si>
  <si>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</si>
  <si>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</si>
  <si>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</si>
  <si>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</si>
  <si>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</si>
  <si>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</si>
  <si>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</si>
  <si>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</si>
  <si>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</si>
  <si>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</si>
  <si>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</si>
  <si>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</si>
  <si>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</si>
  <si>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</si>
  <si>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</si>
  <si>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</si>
  <si>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</si>
  <si>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</si>
  <si>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</si>
  <si>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</si>
  <si>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</si>
  <si>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</si>
  <si>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</si>
  <si>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</si>
  <si>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</si>
  <si>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</si>
  <si>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</si>
  <si>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</si>
  <si>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</si>
  <si>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</si>
  <si>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</si>
  <si>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</si>
  <si>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</si>
  <si>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</si>
  <si>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</si>
  <si>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</si>
  <si>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</si>
  <si>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</si>
  <si>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</si>
  <si>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</si>
  <si>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</si>
  <si>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</si>
  <si>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</si>
  <si>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</si>
  <si>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</si>
  <si>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</si>
  <si>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</si>
  <si>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</si>
  <si>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</si>
  <si>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</si>
  <si>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</si>
  <si>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</si>
  <si>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</si>
  <si>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</si>
  <si>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</si>
  <si>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</si>
  <si>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</si>
  <si>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</si>
  <si>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</si>
  <si>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</si>
  <si>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</si>
  <si>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</si>
  <si>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</si>
  <si>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</si>
  <si>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</si>
  <si>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</si>
  <si>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</si>
  <si>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</si>
  <si>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</si>
  <si>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</si>
  <si>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</si>
  <si>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</si>
  <si>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</si>
  <si>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</si>
  <si>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</si>
  <si>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</si>
  <si>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</si>
  <si>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</si>
  <si>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</si>
  <si>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</si>
  <si>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</si>
  <si>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</si>
  <si>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</si>
  <si>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</si>
  <si>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</si>
  <si>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</si>
  <si>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</si>
  <si>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</si>
  <si>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</si>
  <si>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</si>
  <si>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</si>
  <si>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</si>
  <si>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</si>
  <si>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</si>
  <si>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</si>
  <si>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</si>
  <si>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</si>
  <si>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</si>
  <si>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</si>
  <si>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</si>
  <si>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</si>
  <si>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</si>
  <si>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</si>
  <si>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</si>
  <si>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</si>
  <si>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</si>
  <si>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</si>
  <si>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</si>
  <si>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</si>
  <si>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</si>
  <si>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</si>
  <si>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</si>
  <si>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</si>
  <si>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</si>
  <si>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</si>
  <si>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</si>
  <si>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</si>
  <si>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</si>
  <si>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</si>
  <si>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</si>
  <si>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</si>
  <si>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</si>
  <si>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</si>
  <si>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</si>
  <si>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</si>
  <si>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</si>
  <si>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</si>
  <si>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</si>
  <si>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</si>
  <si>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</si>
  <si>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</si>
  <si>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</si>
  <si>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</si>
  <si>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</si>
  <si>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</si>
  <si>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</si>
  <si>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</si>
  <si>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</si>
  <si>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</si>
  <si>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</si>
  <si>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</si>
  <si>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</si>
  <si>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</si>
  <si>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</si>
  <si>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</si>
  <si>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</si>
  <si>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</si>
  <si>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</si>
  <si>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</si>
  <si>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</si>
  <si>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</si>
  <si>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</si>
  <si>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</si>
  <si>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</si>
  <si>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</si>
  <si>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</si>
  <si>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</si>
  <si>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</si>
  <si>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</si>
  <si>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</si>
  <si>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</si>
  <si>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</si>
  <si>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</si>
  <si>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</si>
  <si>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</si>
  <si>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</si>
  <si>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</si>
  <si>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</si>
  <si>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</si>
  <si>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</si>
  <si>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</si>
  <si>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</si>
  <si>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</si>
  <si>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</si>
  <si>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</si>
  <si>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</si>
  <si>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</si>
  <si>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</si>
  <si>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</si>
  <si>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</si>
  <si>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</si>
  <si>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</si>
  <si>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</si>
  <si>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</si>
  <si>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</si>
  <si>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</si>
  <si>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</si>
  <si>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</si>
  <si>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</si>
  <si>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</si>
  <si>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</si>
  <si>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</si>
  <si>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</si>
  <si>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</si>
  <si>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</si>
  <si>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</si>
  <si>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</si>
  <si>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</si>
  <si>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</si>
  <si>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</si>
  <si>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</si>
  <si>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</si>
  <si>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</si>
  <si>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</si>
  <si>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</si>
  <si>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</si>
  <si>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</si>
  <si>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</si>
  <si>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</si>
  <si>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</si>
  <si>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</si>
  <si>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</si>
  <si>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</si>
  <si>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</si>
  <si>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</si>
  <si>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</si>
  <si>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</si>
  <si>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</si>
  <si>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</si>
  <si>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</si>
  <si>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</si>
  <si>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</si>
  <si>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</si>
  <si>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</si>
  <si>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</si>
  <si>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</si>
  <si>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</si>
  <si>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</si>
  <si>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</si>
  <si>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</si>
  <si>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</si>
  <si>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</si>
  <si>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</si>
  <si>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</si>
  <si>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</si>
  <si>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</si>
  <si>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</si>
  <si>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</si>
  <si>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</si>
  <si>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</si>
  <si>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</si>
  <si>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</si>
  <si>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</si>
  <si>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</si>
  <si>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</si>
  <si>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</si>
  <si>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</si>
  <si>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</si>
  <si>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</si>
  <si>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</si>
  <si>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</si>
  <si>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</si>
  <si>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</si>
  <si>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</si>
  <si>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</si>
  <si>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</si>
  <si>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</si>
  <si>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</si>
  <si>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</si>
  <si>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</si>
  <si>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</si>
  <si>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</si>
  <si>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</si>
  <si>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</si>
  <si>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</si>
  <si>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</si>
  <si>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</si>
  <si>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</si>
  <si>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</si>
  <si>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</si>
  <si>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</si>
  <si>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</si>
  <si>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</si>
  <si>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</si>
  <si>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</si>
  <si>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</si>
  <si>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</si>
  <si>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</si>
  <si>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</si>
  <si>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</si>
  <si>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</si>
  <si>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</si>
  <si>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</si>
  <si>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</si>
  <si>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</si>
  <si>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</si>
  <si>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</si>
  <si>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</si>
  <si>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</si>
  <si>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</si>
  <si>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</si>
  <si>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</si>
  <si>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</si>
  <si>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</si>
  <si>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</si>
  <si>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</si>
  <si>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</si>
  <si>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</si>
  <si>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</si>
  <si>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</si>
  <si>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</si>
  <si>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</si>
  <si>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</si>
  <si>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</si>
  <si>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</si>
  <si>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</si>
  <si>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</si>
  <si>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</si>
  <si>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</si>
  <si>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</si>
  <si>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</si>
  <si>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</si>
  <si>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</si>
  <si>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</si>
  <si>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</si>
  <si>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</si>
  <si>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</si>
  <si>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</si>
  <si>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</si>
  <si>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</si>
  <si>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</si>
  <si>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</si>
  <si>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</si>
  <si>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</si>
  <si>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</si>
  <si>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</si>
  <si>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</si>
  <si>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</si>
  <si>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</si>
  <si>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</si>
  <si>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</si>
  <si>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</si>
  <si>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</si>
  <si>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</si>
  <si>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</si>
  <si>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</si>
  <si>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</si>
  <si>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</si>
  <si>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</si>
  <si>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</si>
  <si>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</si>
  <si>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</si>
  <si>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</si>
  <si>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</si>
  <si>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</si>
  <si>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</si>
  <si>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</si>
  <si>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</si>
  <si>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</si>
  <si>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</si>
  <si>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</si>
  <si>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</si>
  <si>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</si>
  <si>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</si>
  <si>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</si>
  <si>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</si>
  <si>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</si>
  <si>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</si>
  <si>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</si>
  <si>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</si>
  <si>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</si>
  <si>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</si>
  <si>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</si>
  <si>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</si>
  <si>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</si>
  <si>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</si>
  <si>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</si>
  <si>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</si>
  <si>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</si>
  <si>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</si>
  <si>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</si>
  <si>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</si>
  <si>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</si>
  <si>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</si>
  <si>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</si>
  <si>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</si>
  <si>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</si>
  <si>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</si>
  <si>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</si>
  <si>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</si>
  <si>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</si>
  <si>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</si>
  <si>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</si>
  <si>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</si>
  <si>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</si>
  <si>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</si>
  <si>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</si>
  <si>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</si>
  <si>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</si>
  <si>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</si>
  <si>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</si>
  <si>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</si>
  <si>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</si>
  <si>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</si>
  <si>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</si>
  <si>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</si>
  <si>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</si>
  <si>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</si>
  <si>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</si>
  <si>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</si>
  <si>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</si>
  <si>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</si>
  <si>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</si>
  <si>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</si>
  <si>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</si>
  <si>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</si>
  <si>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</si>
  <si>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</si>
  <si>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</si>
  <si>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</si>
  <si>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</si>
  <si>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</si>
  <si>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</si>
  <si>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</si>
  <si>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</si>
  <si>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</si>
  <si>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</si>
  <si>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</si>
  <si>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</si>
  <si>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</si>
  <si>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</si>
  <si>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</si>
  <si>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</si>
  <si>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</si>
  <si>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</si>
  <si>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</si>
  <si>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</si>
  <si>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</si>
  <si>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</si>
  <si>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</si>
  <si>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</si>
  <si>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</si>
  <si>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</si>
  <si>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</si>
  <si>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</si>
  <si>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</si>
  <si>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</si>
  <si>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</si>
  <si>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</si>
  <si>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</si>
  <si>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</si>
  <si>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</si>
  <si>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</si>
  <si>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</si>
  <si>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</si>
  <si>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</si>
  <si>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</si>
  <si>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</si>
  <si>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</si>
  <si>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</si>
  <si>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</si>
  <si>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</si>
  <si>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</si>
  <si>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</si>
  <si>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</si>
  <si>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</si>
  <si>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</si>
  <si>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</si>
  <si>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</si>
  <si>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</si>
  <si>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</si>
  <si>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</si>
  <si>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</si>
  <si>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</si>
  <si>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</si>
  <si>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</si>
  <si>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</si>
  <si>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</si>
  <si>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</si>
  <si>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</si>
  <si>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</si>
  <si>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</si>
  <si>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</si>
  <si>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</si>
  <si>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</si>
  <si>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</si>
  <si>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</si>
  <si>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</si>
  <si>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</si>
  <si>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</si>
  <si>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</si>
  <si>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</si>
  <si>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</si>
  <si>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</si>
  <si>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</si>
  <si>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</si>
  <si>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</si>
  <si>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</si>
  <si>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</si>
  <si>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</si>
  <si>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</si>
  <si>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</si>
  <si>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</si>
  <si>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</si>
  <si>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</si>
  <si>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</si>
  <si>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</si>
  <si>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</si>
  <si>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</si>
  <si>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</si>
  <si>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</si>
  <si>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</si>
  <si>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</si>
  <si>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</si>
  <si>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</si>
  <si>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</si>
  <si>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</si>
  <si>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</si>
  <si>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</si>
  <si>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</si>
  <si>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</si>
  <si>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</si>
  <si>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</si>
  <si>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</si>
  <si>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</si>
  <si>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</si>
  <si>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</si>
  <si>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</si>
  <si>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</si>
  <si>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</si>
  <si>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</si>
  <si>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</si>
  <si>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</si>
  <si>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</si>
  <si>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</si>
  <si>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</si>
  <si>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</si>
  <si>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</si>
  <si>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</si>
  <si>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</si>
  <si>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</si>
  <si>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</si>
  <si>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</si>
  <si>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</si>
  <si>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</si>
  <si>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</si>
  <si>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</si>
  <si>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</si>
  <si>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</si>
  <si>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</si>
  <si>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</si>
  <si>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</si>
  <si>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</si>
  <si>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</si>
  <si>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</si>
  <si>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</si>
  <si>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</si>
  <si>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</si>
  <si>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</si>
  <si>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</si>
  <si>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</si>
  <si>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</si>
  <si>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</si>
  <si>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</si>
  <si>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</si>
  <si>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</si>
  <si>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</si>
  <si>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</si>
  <si>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</si>
  <si>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</si>
  <si>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</si>
  <si>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</si>
  <si>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</si>
  <si>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</si>
  <si>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</si>
  <si>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</si>
  <si>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</si>
  <si>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</si>
  <si>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</si>
  <si>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</si>
  <si>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</si>
  <si>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</si>
  <si>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</si>
  <si>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</si>
  <si>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</si>
  <si>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</si>
  <si>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</si>
  <si>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</si>
  <si>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</si>
  <si>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</si>
  <si>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</si>
  <si>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</si>
  <si>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</si>
  <si>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</si>
  <si>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</si>
  <si>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</si>
  <si>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</si>
  <si>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</si>
  <si>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</si>
  <si>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</si>
  <si>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</si>
  <si>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</si>
  <si>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</si>
  <si>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</si>
  <si>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</si>
  <si>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</si>
  <si>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</si>
  <si>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</si>
  <si>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</si>
  <si>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</si>
  <si>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</si>
  <si>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</si>
  <si>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</si>
  <si>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</si>
  <si>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</si>
  <si>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</si>
  <si>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</si>
  <si>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</si>
  <si>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</si>
  <si>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</si>
  <si>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</si>
  <si>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</si>
  <si>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</si>
  <si>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</si>
  <si>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</si>
  <si>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</si>
  <si>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</si>
  <si>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</si>
  <si>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</si>
  <si>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</si>
  <si>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</si>
  <si>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</si>
  <si>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</si>
  <si>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</si>
  <si>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</si>
  <si>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</si>
  <si>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</si>
  <si>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</si>
  <si>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</si>
  <si>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</si>
  <si>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</si>
  <si>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</si>
  <si>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</si>
  <si>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</si>
  <si>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</si>
  <si>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</si>
  <si>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</si>
  <si>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</si>
  <si>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</si>
  <si>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</si>
  <si>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</si>
  <si>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</si>
  <si>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</si>
  <si>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</si>
  <si>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</si>
  <si>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</si>
  <si>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</si>
  <si>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</si>
  <si>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</si>
  <si>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</si>
  <si>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</si>
  <si>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</si>
  <si>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</si>
  <si>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</si>
  <si>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</si>
  <si>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</si>
  <si>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</si>
  <si>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</si>
  <si>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</si>
  <si>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</si>
  <si>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</si>
  <si>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</si>
  <si>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</si>
  <si>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</si>
  <si>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</si>
  <si>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</si>
  <si>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</si>
  <si>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</si>
  <si>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</si>
  <si>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</si>
  <si>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</si>
  <si>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</si>
  <si>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</si>
  <si>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</si>
  <si>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</si>
  <si>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</si>
  <si>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</si>
  <si>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</si>
  <si>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</si>
  <si>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</si>
  <si>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</si>
  <si>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</si>
  <si>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</si>
  <si>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</si>
  <si>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</si>
  <si>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</si>
  <si>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</si>
  <si>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</si>
  <si>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</si>
  <si>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</si>
  <si>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</si>
  <si>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</si>
  <si>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</si>
  <si>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</si>
  <si>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</si>
  <si>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</si>
  <si>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</si>
  <si>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</si>
  <si>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</si>
  <si>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</si>
  <si>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</si>
  <si>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</si>
  <si>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</si>
  <si>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</si>
  <si>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</si>
  <si>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</si>
  <si>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</si>
  <si>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</si>
  <si>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</si>
  <si>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</si>
  <si>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</si>
  <si>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</si>
  <si>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</si>
  <si>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</si>
  <si>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</si>
  <si>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</si>
  <si>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</si>
  <si>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</si>
  <si>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</si>
  <si>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</si>
  <si>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</si>
  <si>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</si>
  <si>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</si>
  <si>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</si>
  <si>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</si>
  <si>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</si>
  <si>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</si>
  <si>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</si>
  <si>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</si>
  <si>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</si>
  <si>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</si>
  <si>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</si>
  <si>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</si>
  <si>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</si>
  <si>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</si>
  <si>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</si>
  <si>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</si>
  <si>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</si>
  <si>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</si>
  <si>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</si>
  <si>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</si>
  <si>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</si>
  <si>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</si>
  <si>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</si>
  <si>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</si>
  <si>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</si>
  <si>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</si>
  <si>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</si>
  <si>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</si>
  <si>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</si>
  <si>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</si>
  <si>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</si>
  <si>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</si>
  <si>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</si>
  <si>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</si>
  <si>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</si>
  <si>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</si>
  <si>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</si>
  <si>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</si>
  <si>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</si>
  <si>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</si>
  <si>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</si>
  <si>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</si>
  <si>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</si>
  <si>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</si>
  <si>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</si>
  <si>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</si>
  <si>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</si>
  <si>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</si>
  <si>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</si>
  <si>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</si>
  <si>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</si>
  <si>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</si>
  <si>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</si>
  <si>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</si>
  <si>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</si>
  <si>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</si>
  <si>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</si>
  <si>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</si>
  <si>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</si>
  <si>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</si>
  <si>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</si>
  <si>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</si>
  <si>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</si>
  <si>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</si>
  <si>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</si>
  <si>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</si>
  <si>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</si>
  <si>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</si>
  <si>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</si>
  <si>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</si>
  <si>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</si>
  <si>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</si>
  <si>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</si>
  <si>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</si>
  <si>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</si>
  <si>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</si>
  <si>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</si>
  <si>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</si>
  <si>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</si>
  <si>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</si>
  <si>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</si>
  <si>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</si>
  <si>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</si>
  <si>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</si>
  <si>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</si>
  <si>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</si>
  <si>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</si>
  <si>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</si>
  <si>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</si>
  <si>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</si>
  <si>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</si>
  <si>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</si>
  <si>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</si>
  <si>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</si>
  <si>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</si>
  <si>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</si>
  <si>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</si>
  <si>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</si>
  <si>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</si>
  <si>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</si>
  <si>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</si>
  <si>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</si>
  <si>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</si>
  <si>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</si>
  <si>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</si>
  <si>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</si>
  <si>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</si>
  <si>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</si>
  <si>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</si>
  <si>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</si>
  <si>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</si>
  <si>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</si>
  <si>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</si>
  <si>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</si>
  <si>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</si>
  <si>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</si>
  <si>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</si>
  <si>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</si>
  <si>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</si>
  <si>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</si>
  <si>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</si>
  <si>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</si>
  <si>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</si>
  <si>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</si>
  <si>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</si>
  <si>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</si>
  <si>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</si>
  <si>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</si>
  <si>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</si>
  <si>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</si>
  <si>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</si>
  <si>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</si>
  <si>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</si>
  <si>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</si>
  <si>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</si>
  <si>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</si>
  <si>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</si>
  <si>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</si>
  <si>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</si>
  <si>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</si>
  <si>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</si>
  <si>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</si>
  <si>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</si>
  <si>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</si>
  <si>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</si>
  <si>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</si>
  <si>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</si>
  <si>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</si>
  <si>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</si>
  <si>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</si>
  <si>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</si>
  <si>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</si>
  <si>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</si>
  <si>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</si>
  <si>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</si>
  <si>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</si>
  <si>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</si>
  <si>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</si>
  <si>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</si>
  <si>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</si>
  <si>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</si>
  <si>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</si>
  <si>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</si>
  <si>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</si>
  <si>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</si>
  <si>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</si>
  <si>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</si>
  <si>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</si>
  <si>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</si>
  <si>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</si>
  <si>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</si>
  <si>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</si>
  <si>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</si>
  <si>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</si>
  <si>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</si>
  <si>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</si>
  <si>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</si>
  <si>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</si>
  <si>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</si>
  <si>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</si>
  <si>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</si>
  <si>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</si>
  <si>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</si>
  <si>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</si>
  <si>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</si>
  <si>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</si>
  <si>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</si>
  <si>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</si>
  <si>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</si>
  <si>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</si>
  <si>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</si>
  <si>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</si>
  <si>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</si>
  <si>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</si>
  <si>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</si>
  <si>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</si>
  <si>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</si>
  <si>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</si>
  <si>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</si>
  <si>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</si>
  <si>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</si>
  <si>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</si>
  <si>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</si>
  <si>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</si>
  <si>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</si>
  <si>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</si>
  <si>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</si>
  <si>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</si>
  <si>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</si>
  <si>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</si>
  <si>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</si>
  <si>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</si>
  <si>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</si>
  <si>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</si>
  <si>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</si>
  <si>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</si>
  <si>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</si>
  <si>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</si>
  <si>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</si>
  <si>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</si>
  <si>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</si>
  <si>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</si>
  <si>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</si>
  <si>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</si>
  <si>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</si>
  <si>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</si>
  <si>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</si>
  <si>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</si>
  <si>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</si>
  <si>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</si>
  <si>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</si>
  <si>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</si>
  <si>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</si>
  <si>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</si>
  <si>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</si>
  <si>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</si>
  <si>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</si>
  <si>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</si>
  <si>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</si>
  <si>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</si>
  <si>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</si>
  <si>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</si>
  <si>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</si>
  <si>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</si>
  <si>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</si>
  <si>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</si>
  <si>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</si>
  <si>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</si>
  <si>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</si>
  <si>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</si>
  <si>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</si>
  <si>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</si>
  <si>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</si>
  <si>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</si>
  <si>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</si>
  <si>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</si>
  <si>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</si>
  <si>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</si>
  <si>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</si>
  <si>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</si>
  <si>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</si>
  <si>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</si>
  <si>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</si>
  <si>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</si>
  <si>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</si>
  <si>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</si>
  <si>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</si>
  <si>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</si>
  <si>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</si>
  <si>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</si>
  <si>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</si>
  <si>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</si>
  <si>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</si>
  <si>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</si>
  <si>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</si>
  <si>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</si>
  <si>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</si>
  <si>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</si>
  <si>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</si>
  <si>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</si>
  <si>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</si>
  <si>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</si>
  <si>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</si>
  <si>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</si>
  <si>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</si>
  <si>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</si>
  <si>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</si>
  <si>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</si>
  <si>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</si>
  <si>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</si>
  <si>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</si>
  <si>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</si>
  <si>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</si>
  <si>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</si>
  <si>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</si>
  <si>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</si>
  <si>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</si>
  <si>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</si>
  <si>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</si>
  <si>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</si>
  <si>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</si>
  <si>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</si>
  <si>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</si>
  <si>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</si>
  <si>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</si>
  <si>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</si>
  <si>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</si>
  <si>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</si>
  <si>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</si>
  <si>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</si>
  <si>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</si>
  <si>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</si>
  <si>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</si>
  <si>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</si>
  <si>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</si>
  <si>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</si>
  <si>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</si>
  <si>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</si>
  <si>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</si>
  <si>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</si>
  <si>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</si>
  <si>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</si>
  <si>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</si>
  <si>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</si>
  <si>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</si>
  <si>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</si>
  <si>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</si>
  <si>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</si>
  <si>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</si>
  <si>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</si>
  <si>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</si>
  <si>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</si>
  <si>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</si>
  <si>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</si>
  <si>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</si>
  <si>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</si>
  <si>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</si>
  <si>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</si>
  <si>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</si>
  <si>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</si>
  <si>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</si>
  <si>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</si>
  <si>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</si>
  <si>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</si>
  <si>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</si>
  <si>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</si>
  <si>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</si>
  <si>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</si>
  <si>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</si>
  <si>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</si>
  <si>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</si>
  <si>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</si>
  <si>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</si>
  <si>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</si>
  <si>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</si>
  <si>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</si>
  <si>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</si>
  <si>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</si>
  <si>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</si>
  <si>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</si>
  <si>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</si>
  <si>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</si>
  <si>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</si>
  <si>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</si>
  <si>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</si>
  <si>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</si>
  <si>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</si>
  <si>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</si>
  <si>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</si>
  <si>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</si>
  <si>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</si>
  <si>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</si>
  <si>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</si>
  <si>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</si>
  <si>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</si>
  <si>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</si>
  <si>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</si>
  <si>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</si>
  <si>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</si>
  <si>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</si>
  <si>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</si>
  <si>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</si>
  <si>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</si>
  <si>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</si>
  <si>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</si>
  <si>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</si>
  <si>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</si>
  <si>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</si>
  <si>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</si>
  <si>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</si>
  <si>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</si>
  <si>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</si>
  <si>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</si>
  <si>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</si>
  <si>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</si>
  <si>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</si>
  <si>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</si>
  <si>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</si>
  <si>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</si>
  <si>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</si>
  <si>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</si>
  <si>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</si>
  <si>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</si>
  <si>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</si>
  <si>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</si>
  <si>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</si>
  <si>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</si>
  <si>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</si>
  <si>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</si>
  <si>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</si>
  <si>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</si>
  <si>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</si>
  <si>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</si>
  <si>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</si>
  <si>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</si>
  <si>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</si>
  <si>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</si>
  <si>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</si>
  <si>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</si>
  <si>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</si>
  <si>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</si>
  <si>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</si>
  <si>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</si>
  <si>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</si>
  <si>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</si>
  <si>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</si>
  <si>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</si>
  <si>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</si>
  <si>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</si>
  <si>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</si>
  <si>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</si>
  <si>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</si>
  <si>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</si>
  <si>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</si>
  <si>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</si>
  <si>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</si>
  <si>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</si>
  <si>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</si>
  <si>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</si>
  <si>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</si>
  <si>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</si>
  <si>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</si>
  <si>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</si>
  <si>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</si>
  <si>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</si>
  <si>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</si>
  <si>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</si>
  <si>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</si>
  <si>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</si>
  <si>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</si>
  <si>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</si>
  <si>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</si>
  <si>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</si>
  <si>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</si>
  <si>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</si>
  <si>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</si>
  <si>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</si>
  <si>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</si>
  <si>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</si>
  <si>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</si>
  <si>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</si>
  <si>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</si>
  <si>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</si>
  <si>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</si>
  <si>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</si>
  <si>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</si>
  <si>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</si>
  <si>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</si>
  <si>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</si>
  <si>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</si>
  <si>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</si>
  <si>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</si>
  <si>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</si>
  <si>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</si>
  <si>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</si>
  <si>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</si>
  <si>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</si>
  <si>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</si>
  <si>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</si>
  <si>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</si>
  <si>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</si>
  <si>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</si>
  <si>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</si>
  <si>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</si>
  <si>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</si>
  <si>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</si>
  <si>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</si>
  <si>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</si>
  <si>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</si>
  <si>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</si>
  <si>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</si>
  <si>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</si>
  <si>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</si>
  <si>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</si>
  <si>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</si>
  <si>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</si>
  <si>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</si>
  <si>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</si>
  <si>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</si>
  <si>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</si>
  <si>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</si>
  <si>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</si>
  <si>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</si>
  <si>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</si>
  <si>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</si>
  <si>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</si>
  <si>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</si>
  <si>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</si>
  <si>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</si>
  <si>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</si>
  <si>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</si>
  <si>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</si>
  <si>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</si>
  <si>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</si>
  <si>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</si>
  <si>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</si>
  <si>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</si>
  <si>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</si>
  <si>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</si>
  <si>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</si>
  <si>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</si>
  <si>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</si>
  <si>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</si>
  <si>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</si>
  <si>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</si>
  <si>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</si>
  <si>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</si>
  <si>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</si>
  <si>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</si>
  <si>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</si>
  <si>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</si>
  <si>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</si>
  <si>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</si>
  <si>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</si>
  <si>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</si>
  <si>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</si>
  <si>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</si>
  <si>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</si>
  <si>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</si>
  <si>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</si>
  <si>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</si>
  <si>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</si>
  <si>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</si>
  <si>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</si>
  <si>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</si>
  <si>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</si>
  <si>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</si>
  <si>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</si>
  <si>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</si>
  <si>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</si>
  <si>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</si>
  <si>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</si>
  <si>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</si>
  <si>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</si>
  <si>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</si>
  <si>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</si>
  <si>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</si>
  <si>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</si>
  <si>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</si>
  <si>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</si>
  <si>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</si>
  <si>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</si>
  <si>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</si>
  <si>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</si>
  <si>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</si>
  <si>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</si>
  <si>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</si>
  <si>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</si>
  <si>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</si>
  <si>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</si>
  <si>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</si>
  <si>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</si>
  <si>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</si>
  <si>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</si>
  <si>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</si>
  <si>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</si>
  <si>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</si>
  <si>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</si>
  <si>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</si>
  <si>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</si>
  <si>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</si>
  <si>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</si>
  <si>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</si>
  <si>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</si>
  <si>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</si>
  <si>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</si>
  <si>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</si>
  <si>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</si>
  <si>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</si>
  <si>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</si>
  <si>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</si>
  <si>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</si>
  <si>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</si>
  <si>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</si>
  <si>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</si>
  <si>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</si>
  <si>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</si>
  <si>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</si>
  <si>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</si>
  <si>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</si>
  <si>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</si>
  <si>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</si>
  <si>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</si>
  <si>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</si>
  <si>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</si>
  <si>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</si>
  <si>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</si>
  <si>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</si>
  <si>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</si>
  <si>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</si>
  <si>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</si>
  <si>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</si>
  <si>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</si>
  <si>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</si>
  <si>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</si>
  <si>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</si>
  <si>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</si>
  <si>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</si>
  <si>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</si>
  <si>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</si>
  <si>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</si>
  <si>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</si>
  <si>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</si>
  <si>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</si>
  <si>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</si>
  <si>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</si>
  <si>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</si>
  <si>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</si>
  <si>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</si>
  <si>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</si>
  <si>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</si>
  <si>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</si>
  <si>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</si>
  <si>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</si>
  <si>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</si>
  <si>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</si>
  <si>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</si>
  <si>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</si>
  <si>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</si>
  <si>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</si>
  <si>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</si>
  <si>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</si>
  <si>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</si>
  <si>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</si>
  <si>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</si>
  <si>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</si>
  <si>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</si>
  <si>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</si>
  <si>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</si>
  <si>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</si>
  <si>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</si>
  <si>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</si>
  <si>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</si>
  <si>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</si>
  <si>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</si>
  <si>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</si>
  <si>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</si>
  <si>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</si>
  <si>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</si>
  <si>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</si>
  <si>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</si>
  <si>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</si>
  <si>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</si>
  <si>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</si>
  <si>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</si>
  <si>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</si>
  <si>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</si>
  <si>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</si>
  <si>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</si>
  <si>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</si>
  <si>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</si>
  <si>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</si>
  <si>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</si>
  <si>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</si>
  <si>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</si>
  <si>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</si>
  <si>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</si>
  <si>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</si>
  <si>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</si>
  <si>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</si>
  <si>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</si>
  <si>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</si>
  <si>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</si>
  <si>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</si>
  <si>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</si>
  <si>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</si>
  <si>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</si>
  <si>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</si>
  <si>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</si>
  <si>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</si>
  <si>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</si>
  <si>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</si>
  <si>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</si>
  <si>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</si>
  <si>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</si>
  <si>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</si>
  <si>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</si>
  <si>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</si>
  <si>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</si>
  <si>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</si>
  <si>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</si>
  <si>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</si>
  <si>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</si>
  <si>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</si>
  <si>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</si>
  <si>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</si>
  <si>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</si>
  <si>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</si>
  <si>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</si>
  <si>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</si>
  <si>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</si>
  <si>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</si>
  <si>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</si>
  <si>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</si>
  <si>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</si>
  <si>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</si>
  <si>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</si>
  <si>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</si>
  <si>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</si>
  <si>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</si>
  <si>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</si>
  <si>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</si>
  <si>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</si>
  <si>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</si>
  <si>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</si>
  <si>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</si>
  <si>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</si>
  <si>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</si>
  <si>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</si>
  <si>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</si>
  <si>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</si>
  <si>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</si>
  <si>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</si>
  <si>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</si>
  <si>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</si>
  <si>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</si>
  <si>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</si>
  <si>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</si>
  <si>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</si>
  <si>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</si>
  <si>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</si>
  <si>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</si>
  <si>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</si>
  <si>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</si>
  <si>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</si>
  <si>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</si>
  <si>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</si>
  <si>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</si>
  <si>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</si>
  <si>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</si>
  <si>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</si>
  <si>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</si>
  <si>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</si>
  <si>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</si>
  <si>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</si>
  <si>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</si>
  <si>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</si>
  <si>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</si>
  <si>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</si>
  <si>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</si>
  <si>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</si>
  <si>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</si>
  <si>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</si>
  <si>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</si>
  <si>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</si>
  <si>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</si>
  <si>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</si>
  <si>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</si>
  <si>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</si>
  <si>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</si>
  <si>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</si>
  <si>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</si>
  <si>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</si>
  <si>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</si>
  <si>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</si>
  <si>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</si>
  <si>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</si>
  <si>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</si>
  <si>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</si>
  <si>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</si>
  <si>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</si>
  <si>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</si>
  <si>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</si>
  <si>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</si>
  <si>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</si>
  <si>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</si>
  <si>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</si>
  <si>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</si>
  <si>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</si>
  <si>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</si>
  <si>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</si>
  <si>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</si>
  <si>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</si>
  <si>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</si>
  <si>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</si>
  <si>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</si>
  <si>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</si>
  <si>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</si>
  <si>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</si>
  <si>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</si>
  <si>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</si>
  <si>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</si>
  <si>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</si>
  <si>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</si>
  <si>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</si>
  <si>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</si>
  <si>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</si>
  <si>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</si>
  <si>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</si>
  <si>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</si>
  <si>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</si>
  <si>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</si>
  <si>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</si>
  <si>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</si>
  <si>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</si>
  <si>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</si>
  <si>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</si>
  <si>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</si>
  <si>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</si>
  <si>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</si>
  <si>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</si>
  <si>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</si>
  <si>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</si>
  <si>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</si>
  <si>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</si>
  <si>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</si>
  <si>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</si>
  <si>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</si>
  <si>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</si>
  <si>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</si>
  <si>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</si>
  <si>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</si>
  <si>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</si>
  <si>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</si>
  <si>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</si>
  <si>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</si>
  <si>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</si>
  <si>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</si>
  <si>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</si>
  <si>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</si>
  <si>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</si>
  <si>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</si>
  <si>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</si>
  <si>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</si>
  <si>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</si>
  <si>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</si>
  <si>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</si>
  <si>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</si>
  <si>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</si>
  <si>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</si>
  <si>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</si>
  <si>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</si>
  <si>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</si>
  <si>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</si>
  <si>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</si>
  <si>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</si>
  <si>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</si>
  <si>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</si>
  <si>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</si>
  <si>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</si>
  <si>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</si>
  <si>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</si>
  <si>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</si>
  <si>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</si>
  <si>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</si>
  <si>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</si>
  <si>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</si>
  <si>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</si>
  <si>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</si>
  <si>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</si>
  <si>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</si>
  <si>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</si>
  <si>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</si>
  <si>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</si>
  <si>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</si>
  <si>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</si>
  <si>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</si>
  <si>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</si>
  <si>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</si>
  <si>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</si>
  <si>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</si>
  <si>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</si>
  <si>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</si>
  <si>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</si>
  <si>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</si>
  <si>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</si>
  <si>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</si>
  <si>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</si>
  <si>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</si>
  <si>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</si>
  <si>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</si>
  <si>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</si>
  <si>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</si>
  <si>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</si>
  <si>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</si>
  <si>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</si>
  <si>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</si>
  <si>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</si>
  <si>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</si>
  <si>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</si>
  <si>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</si>
  <si>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</si>
  <si>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</si>
  <si>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</si>
  <si>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</si>
  <si>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</si>
  <si>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</si>
  <si>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</si>
  <si>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</si>
  <si>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</si>
  <si>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</si>
  <si>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</si>
  <si>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</si>
  <si>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</si>
  <si>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</si>
  <si>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</si>
  <si>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</si>
  <si>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</si>
  <si>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</si>
  <si>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</si>
  <si>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</si>
  <si>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</si>
  <si>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</si>
  <si>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</si>
  <si>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</si>
  <si>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</si>
  <si>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</si>
  <si>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</si>
  <si>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</si>
  <si>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</si>
  <si>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</si>
  <si>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</si>
  <si>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</si>
  <si>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</si>
  <si>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</si>
  <si>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</si>
  <si>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</si>
  <si>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</si>
  <si>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</si>
  <si>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</si>
  <si>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</si>
  <si>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</si>
  <si>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</si>
  <si>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</si>
  <si>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</si>
  <si>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</si>
  <si>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</si>
  <si>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</si>
  <si>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</si>
  <si>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</si>
  <si>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</si>
  <si>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</si>
  <si>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</si>
  <si>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</si>
  <si>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</si>
  <si>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</si>
  <si>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</si>
  <si>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</si>
  <si>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</si>
  <si>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</si>
  <si>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</si>
  <si>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</si>
  <si>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</si>
  <si>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</si>
  <si>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</si>
  <si>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</si>
  <si>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</si>
  <si>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</si>
  <si>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</si>
  <si>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</si>
  <si>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</si>
  <si>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</si>
  <si>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</si>
  <si>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</si>
  <si>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</si>
  <si>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</si>
  <si>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</si>
  <si>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</si>
  <si>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</si>
  <si>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</si>
  <si>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</si>
  <si>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</si>
  <si>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</si>
  <si>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</si>
  <si>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</si>
  <si>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</si>
  <si>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</si>
  <si>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</si>
  <si>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</si>
  <si>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</si>
  <si>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</si>
  <si>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</si>
  <si>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</si>
  <si>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</si>
  <si>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</si>
  <si>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</si>
  <si>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</si>
  <si>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</si>
  <si>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</si>
  <si>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</si>
  <si>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</si>
  <si>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</si>
  <si>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</si>
  <si>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</si>
  <si>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</si>
  <si>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</si>
  <si>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</si>
  <si>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</si>
  <si>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</si>
  <si>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</si>
  <si>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</si>
  <si>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</si>
  <si>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</si>
  <si>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</si>
  <si>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</si>
  <si>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</si>
  <si>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</si>
  <si>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</si>
  <si>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</si>
  <si>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</si>
  <si>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</si>
  <si>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</si>
  <si>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</si>
  <si>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</si>
  <si>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</si>
  <si>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</si>
  <si>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</si>
  <si>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</si>
  <si>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</si>
  <si>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</si>
  <si>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</si>
  <si>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</si>
  <si>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</si>
  <si>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</si>
  <si>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</si>
  <si>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</si>
  <si>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</si>
  <si>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</si>
  <si>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</si>
  <si>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</si>
  <si>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</si>
  <si>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</si>
  <si>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</si>
  <si>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</si>
  <si>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</si>
  <si>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</si>
  <si>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</si>
  <si>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</si>
  <si>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</si>
  <si>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</si>
  <si>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</si>
  <si>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</si>
  <si>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</si>
  <si>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</si>
  <si>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</si>
  <si>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</si>
  <si>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</si>
  <si>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</si>
  <si>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</si>
  <si>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</si>
  <si>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</si>
  <si>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</si>
  <si>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</si>
  <si>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</si>
  <si>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</si>
  <si>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</si>
  <si>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</si>
  <si>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</si>
  <si>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</si>
  <si>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</si>
  <si>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</si>
  <si>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</si>
  <si>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</si>
  <si>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</si>
  <si>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</si>
  <si>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</si>
  <si>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</si>
  <si>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</si>
  <si>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</si>
  <si>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</si>
  <si>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</si>
  <si>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</si>
  <si>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</si>
  <si>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</si>
  <si>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</si>
  <si>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</si>
  <si>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</si>
  <si>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</si>
  <si>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</si>
  <si>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</si>
  <si>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</si>
  <si>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</si>
  <si>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</si>
  <si>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</si>
  <si>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</si>
  <si>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</si>
  <si>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</si>
  <si>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</si>
  <si>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</si>
  <si>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</si>
  <si>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</si>
  <si>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</si>
  <si>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</si>
  <si>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</si>
  <si>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</si>
  <si>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</si>
  <si>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</si>
  <si>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</si>
  <si>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</si>
  <si>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</si>
  <si>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</si>
  <si>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</si>
  <si>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</si>
  <si>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</si>
  <si>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</si>
  <si>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</si>
  <si>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</si>
  <si>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</si>
  <si>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</si>
  <si>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</si>
  <si>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</si>
  <si>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</si>
  <si>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</si>
  <si>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</si>
  <si>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</si>
  <si>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</si>
  <si>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</si>
  <si>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</si>
  <si>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</si>
  <si>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</si>
  <si>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</si>
  <si>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</si>
  <si>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</si>
  <si>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</si>
  <si>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</si>
  <si>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</si>
  <si>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</si>
  <si>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</si>
  <si>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</si>
  <si>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</si>
  <si>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</si>
  <si>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</si>
  <si>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</si>
  <si>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</si>
  <si>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</si>
  <si>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</si>
  <si>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</si>
  <si>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</si>
  <si>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</si>
  <si>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</si>
  <si>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</si>
  <si>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</si>
  <si>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</si>
  <si>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</si>
  <si>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</si>
  <si>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</si>
  <si>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</si>
  <si>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</si>
  <si>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</si>
  <si>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</si>
  <si>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</si>
  <si>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</si>
  <si>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</si>
  <si>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</si>
  <si>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</si>
  <si>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</si>
  <si>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</si>
  <si>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</si>
  <si>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</si>
  <si>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</si>
  <si>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</si>
  <si>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</si>
  <si>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</si>
  <si>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</si>
  <si>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</si>
  <si>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</si>
  <si>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</si>
  <si>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</si>
  <si>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</si>
  <si>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</si>
  <si>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</si>
  <si>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</si>
  <si>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</si>
  <si>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</si>
  <si>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</si>
  <si>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</si>
  <si>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</si>
  <si>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</si>
  <si>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</si>
  <si>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</si>
  <si>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</si>
  <si>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</si>
  <si>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</si>
  <si>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</si>
  <si>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</si>
  <si>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</si>
  <si>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</si>
  <si>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</si>
  <si>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</si>
  <si>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</si>
  <si>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</si>
  <si>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</si>
  <si>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</si>
  <si>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</si>
  <si>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</si>
  <si>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</si>
  <si>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</si>
  <si>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</si>
  <si>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</si>
  <si>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</si>
  <si>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</si>
  <si>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</si>
  <si>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</si>
  <si>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</si>
  <si>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</si>
  <si>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</si>
  <si>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</si>
  <si>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</si>
  <si>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</si>
  <si>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</si>
  <si>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</si>
  <si>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</si>
  <si>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</si>
  <si>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</si>
  <si>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</si>
  <si>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</si>
  <si>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</si>
  <si>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</si>
  <si>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</si>
  <si>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</si>
  <si>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</si>
  <si>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</si>
  <si>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</si>
  <si>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</si>
  <si>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</si>
  <si>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</si>
  <si>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</si>
  <si>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</si>
  <si>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</si>
  <si>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</si>
  <si>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</si>
  <si>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</si>
  <si>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</si>
  <si>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</si>
  <si>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</si>
  <si>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</si>
  <si>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</si>
  <si>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</si>
  <si>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</si>
  <si>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</si>
  <si>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</si>
  <si>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</si>
  <si>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</si>
  <si>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</si>
  <si>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</si>
  <si>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</si>
  <si>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</si>
  <si>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</si>
  <si>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</si>
  <si>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</si>
  <si>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</si>
  <si>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</si>
  <si>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</si>
  <si>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</si>
  <si>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</si>
  <si>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</si>
  <si>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</si>
  <si>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</si>
  <si>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</si>
  <si>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</si>
  <si>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</si>
  <si>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</si>
  <si>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</si>
  <si>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</si>
  <si>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</si>
  <si>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</si>
  <si>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</si>
  <si>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</si>
  <si>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</si>
  <si>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</si>
  <si>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</si>
  <si>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</si>
  <si>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</si>
  <si>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</si>
  <si>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</si>
  <si>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</si>
  <si>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</si>
  <si>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</si>
  <si>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</si>
  <si>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</si>
  <si>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</si>
  <si>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</si>
  <si>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</si>
  <si>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</si>
  <si>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</si>
  <si>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</si>
  <si>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</si>
  <si>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</si>
  <si>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</si>
  <si>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</si>
  <si>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</si>
  <si>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</si>
  <si>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</si>
  <si>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</si>
  <si>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</si>
  <si>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</si>
  <si>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</si>
  <si>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</si>
  <si>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</si>
  <si>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</si>
  <si>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</si>
  <si>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</si>
  <si>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</si>
  <si>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</si>
  <si>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</si>
  <si>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</si>
  <si>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</si>
  <si>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</si>
  <si>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</si>
  <si>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</si>
  <si>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</si>
  <si>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</si>
  <si>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</si>
  <si>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</si>
  <si>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</si>
  <si>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</si>
  <si>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</si>
  <si>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</si>
  <si>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</si>
  <si>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</si>
  <si>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</si>
  <si>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</si>
  <si>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</si>
  <si>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</si>
  <si>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</si>
  <si>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</si>
  <si>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</si>
  <si>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</si>
  <si>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</si>
  <si>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</si>
  <si>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</si>
  <si>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</si>
  <si>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</si>
  <si>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</si>
  <si>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</si>
  <si>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</si>
  <si>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</si>
  <si>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</si>
  <si>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</si>
  <si>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</si>
  <si>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</si>
  <si>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</si>
  <si>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</si>
  <si>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</si>
  <si>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</si>
  <si>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</si>
  <si>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</si>
  <si>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</si>
  <si>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</si>
  <si>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</si>
  <si>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</si>
  <si>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</si>
  <si>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</si>
  <si>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</si>
  <si>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</si>
  <si>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</si>
  <si>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</si>
  <si>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</si>
  <si>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</si>
  <si>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</si>
  <si>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</si>
  <si>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</si>
  <si>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</si>
  <si>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</si>
  <si>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</si>
  <si>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</si>
  <si>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</si>
  <si>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</si>
  <si>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</si>
  <si>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</si>
  <si>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</si>
  <si>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</si>
  <si>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</si>
  <si>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</si>
  <si>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</si>
  <si>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</si>
  <si>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</si>
  <si>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</si>
  <si>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</si>
  <si>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</si>
  <si>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</si>
  <si>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</si>
  <si>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</si>
  <si>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</si>
  <si>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</si>
  <si>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</si>
  <si>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</si>
  <si>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</si>
  <si>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</si>
  <si>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</si>
  <si>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</si>
  <si>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</si>
  <si>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</si>
  <si>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</si>
  <si>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</si>
  <si>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</si>
  <si>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</si>
  <si>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</si>
  <si>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</si>
  <si>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</si>
  <si>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</si>
  <si>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</si>
  <si>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</si>
  <si>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</si>
  <si>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</si>
  <si>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</si>
  <si>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</si>
  <si>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</si>
  <si>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</si>
  <si>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</si>
  <si>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</si>
  <si>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</si>
  <si>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</si>
  <si>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</si>
  <si>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</si>
  <si>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</si>
  <si>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</si>
  <si>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</si>
  <si>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</si>
  <si>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</si>
  <si>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</si>
  <si>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</si>
  <si>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</si>
  <si>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</si>
  <si>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</si>
  <si>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</si>
  <si>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</si>
  <si>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</si>
  <si>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</si>
  <si>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</si>
  <si>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</si>
  <si>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</si>
  <si>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</si>
  <si>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</si>
  <si>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</si>
  <si>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</si>
  <si>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</si>
  <si>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</si>
  <si>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</si>
  <si>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</si>
  <si>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</si>
  <si>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</si>
  <si>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</si>
  <si>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</si>
  <si>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</si>
  <si>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</si>
  <si>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</si>
  <si>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</si>
  <si>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</si>
  <si>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</si>
  <si>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</si>
  <si>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</si>
  <si>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</si>
  <si>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</si>
  <si>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</si>
  <si>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</si>
  <si>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</si>
  <si>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</si>
  <si>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</si>
  <si>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</si>
  <si>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</si>
  <si>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</si>
  <si>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</si>
  <si>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</si>
  <si>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</si>
  <si>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</si>
  <si>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</si>
  <si>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</si>
  <si>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</si>
  <si>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</si>
  <si>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</si>
  <si>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</si>
  <si>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</si>
  <si>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</si>
  <si>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</si>
  <si>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</si>
  <si>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</si>
  <si>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</si>
  <si>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</si>
  <si>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</si>
  <si>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</si>
  <si>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</si>
  <si>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</si>
  <si>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</si>
  <si>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</si>
  <si>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</si>
  <si>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</si>
  <si>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</si>
  <si>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</si>
  <si>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</si>
  <si>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</si>
  <si>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</si>
  <si>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</si>
  <si>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</si>
  <si>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</si>
  <si>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</si>
  <si>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</si>
  <si>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</si>
  <si>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</si>
  <si>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</si>
  <si>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</si>
  <si>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</si>
  <si>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</si>
  <si>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</si>
  <si>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</si>
  <si>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</si>
  <si>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</si>
  <si>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</si>
  <si>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</si>
  <si>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</si>
  <si>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</si>
  <si>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</si>
  <si>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</si>
  <si>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</si>
  <si>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</si>
  <si>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</si>
  <si>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</si>
  <si>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</si>
  <si>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</si>
  <si>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</si>
  <si>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</si>
  <si>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</si>
  <si>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</si>
  <si>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</si>
  <si>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</si>
  <si>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</si>
  <si>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</si>
  <si>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</si>
  <si>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</si>
  <si>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</si>
  <si>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</si>
  <si>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</si>
  <si>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</si>
  <si>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</si>
  <si>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</si>
  <si>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</si>
  <si>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</si>
  <si>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</si>
  <si>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</si>
  <si>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</si>
  <si>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</si>
  <si>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</si>
  <si>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</si>
  <si>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</si>
  <si>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</si>
  <si>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</si>
  <si>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</si>
  <si>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</si>
  <si>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</si>
  <si>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</si>
  <si>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</si>
  <si>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</si>
  <si>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</si>
  <si>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</si>
  <si>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</si>
  <si>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</si>
  <si>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</si>
  <si>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</si>
  <si>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</si>
  <si>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</si>
  <si>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</si>
  <si>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</si>
  <si>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</si>
  <si>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</si>
  <si>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</si>
  <si>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</si>
  <si>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</si>
  <si>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</si>
  <si>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</si>
  <si>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</si>
  <si>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</si>
  <si>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</si>
  <si>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</si>
  <si>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</si>
  <si>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</si>
  <si>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</si>
  <si>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</si>
  <si>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</si>
  <si>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</si>
  <si>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</si>
  <si>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</si>
  <si>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</si>
  <si>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</si>
  <si>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</si>
  <si>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</si>
  <si>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</si>
  <si>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</si>
  <si>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</si>
  <si>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</si>
  <si>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</si>
  <si>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</si>
  <si>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</si>
  <si>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</si>
  <si>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</si>
  <si>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</si>
  <si>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</si>
  <si>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</si>
  <si>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</si>
  <si>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</si>
  <si>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</si>
  <si>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</si>
  <si>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</si>
  <si>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</si>
  <si>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</si>
  <si>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</si>
  <si>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</si>
  <si>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</si>
  <si>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</si>
  <si>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</si>
  <si>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</si>
  <si>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</si>
  <si>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</si>
  <si>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</si>
  <si>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</si>
  <si>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</si>
  <si>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</si>
  <si>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</si>
  <si>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</si>
  <si>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</si>
  <si>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</si>
  <si>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</si>
  <si>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</si>
  <si>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</si>
  <si>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</si>
  <si>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</si>
  <si>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</si>
  <si>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</si>
  <si>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</si>
  <si>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</si>
  <si>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</si>
  <si>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</si>
  <si>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</si>
  <si>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</si>
  <si>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</si>
  <si>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</si>
  <si>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</si>
  <si>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</si>
  <si>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</si>
  <si>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</si>
  <si>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</si>
  <si>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</si>
  <si>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</si>
  <si>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</si>
  <si>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</si>
  <si>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</si>
  <si>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</si>
  <si>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</si>
  <si>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</si>
  <si>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</si>
  <si>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</si>
  <si>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</si>
  <si>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</si>
  <si>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</si>
  <si>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</si>
  <si>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</si>
  <si>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</si>
  <si>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</si>
  <si>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</si>
  <si>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</si>
  <si>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</si>
  <si>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</si>
  <si>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</si>
  <si>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</si>
  <si>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</si>
  <si>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</si>
  <si>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</si>
  <si>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</si>
  <si>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</si>
  <si>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</si>
  <si>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</si>
  <si>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</si>
  <si>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</si>
  <si>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</si>
  <si>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</si>
  <si>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</si>
  <si>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</si>
  <si>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</si>
  <si>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</si>
  <si>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</si>
  <si>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</si>
  <si>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</si>
  <si>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</si>
  <si>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</si>
  <si>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</si>
  <si>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</si>
  <si>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</si>
  <si>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</si>
  <si>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</si>
  <si>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</si>
  <si>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</si>
  <si>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</si>
  <si>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</si>
  <si>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</si>
  <si>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</si>
  <si>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</si>
  <si>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</si>
  <si>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</si>
  <si>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</si>
  <si>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</si>
  <si>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</si>
  <si>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</si>
  <si>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</si>
  <si>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</si>
  <si>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</si>
  <si>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</si>
  <si>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</si>
  <si>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</si>
  <si>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</si>
  <si>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</si>
  <si>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</si>
  <si>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</si>
  <si>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</si>
  <si>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</si>
  <si>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</si>
  <si>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</si>
  <si>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</si>
  <si>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</si>
  <si>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</si>
  <si>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</si>
  <si>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</si>
  <si>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</si>
  <si>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</si>
  <si>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</si>
  <si>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</si>
  <si>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</si>
  <si>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</si>
  <si>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</si>
  <si>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</si>
  <si>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</si>
  <si>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</si>
  <si>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</si>
  <si>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</si>
  <si>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</si>
  <si>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</si>
  <si>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</si>
  <si>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</si>
  <si>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</si>
  <si>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</si>
  <si>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</si>
  <si>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</si>
  <si>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</si>
  <si>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</si>
  <si>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</si>
  <si>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</si>
  <si>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</si>
  <si>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</si>
  <si>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</si>
  <si>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</si>
  <si>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</si>
  <si>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</si>
  <si>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</si>
  <si>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</si>
  <si>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</si>
  <si>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</si>
  <si>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</si>
  <si>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</si>
  <si>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</si>
  <si>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</si>
  <si>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</si>
  <si>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</si>
  <si>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</si>
  <si>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</si>
  <si>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</si>
  <si>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</si>
  <si>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</si>
  <si>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</si>
  <si>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</si>
  <si>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</si>
  <si>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</si>
  <si>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</si>
  <si>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</si>
  <si>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</si>
  <si>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</si>
  <si>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</si>
  <si>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</si>
  <si>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</si>
  <si>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</si>
  <si>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</si>
  <si>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</si>
  <si>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</si>
  <si>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</si>
  <si>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</si>
  <si>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</si>
  <si>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</si>
  <si>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</si>
  <si>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</si>
  <si>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</si>
  <si>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</si>
  <si>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</si>
  <si>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</si>
  <si>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</si>
  <si>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</si>
  <si>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</si>
  <si>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</si>
  <si>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</si>
  <si>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</si>
  <si>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</si>
  <si>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</si>
  <si>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</si>
  <si>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</si>
  <si>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</si>
  <si>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</si>
  <si>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</si>
  <si>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</si>
  <si>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</si>
  <si>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</si>
  <si>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</si>
  <si>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</si>
  <si>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</si>
  <si>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</si>
  <si>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</si>
  <si>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</si>
  <si>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</si>
  <si>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</si>
  <si>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</si>
  <si>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</si>
  <si>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</si>
  <si>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</si>
  <si>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</si>
  <si>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</si>
  <si>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</si>
  <si>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</si>
  <si>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</si>
  <si>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</si>
  <si>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</si>
  <si>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</si>
  <si>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</si>
  <si>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</si>
  <si>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</si>
  <si>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</si>
  <si>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</si>
  <si>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</si>
  <si>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</si>
  <si>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</si>
  <si>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</si>
  <si>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</si>
  <si>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</si>
  <si>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</si>
  <si>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</si>
  <si>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</si>
  <si>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</si>
  <si>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</si>
  <si>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</si>
  <si>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</si>
  <si>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</si>
  <si>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</si>
  <si>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</si>
  <si>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</si>
  <si>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</si>
  <si>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</si>
  <si>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</si>
  <si>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</si>
  <si>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</si>
  <si>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</si>
  <si>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</si>
  <si>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</si>
  <si>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</si>
  <si>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</si>
  <si>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</si>
  <si>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</si>
  <si>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</si>
  <si>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</si>
  <si>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</si>
  <si>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</si>
  <si>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</si>
  <si>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</si>
  <si>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</si>
  <si>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</si>
  <si>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</si>
  <si>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</si>
  <si>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</si>
  <si>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</si>
  <si>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</si>
  <si>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</si>
  <si>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</si>
  <si>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</si>
  <si>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</si>
  <si>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</si>
  <si>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</si>
  <si>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</si>
  <si>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</si>
  <si>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</si>
  <si>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</si>
  <si>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</si>
  <si>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</si>
  <si>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</si>
  <si>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</si>
  <si>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</si>
  <si>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</si>
  <si>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</si>
  <si>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</si>
  <si>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</si>
  <si>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</si>
  <si>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</si>
  <si>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</si>
  <si>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</si>
  <si>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</si>
  <si>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</si>
  <si>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</si>
  <si>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</si>
  <si>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</si>
  <si>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</si>
  <si>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</si>
  <si>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</si>
  <si>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</si>
  <si>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</si>
  <si>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</si>
  <si>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</si>
  <si>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</si>
  <si>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</si>
  <si>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</si>
  <si>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</si>
  <si>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</si>
  <si>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</si>
  <si>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</si>
  <si>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</si>
  <si>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</si>
  <si>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</si>
  <si>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</si>
  <si>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</si>
  <si>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</si>
  <si>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</si>
  <si>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</si>
  <si>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</si>
  <si>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</si>
  <si>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</si>
  <si>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</si>
  <si>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</si>
  <si>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</si>
  <si>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</si>
  <si>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</si>
  <si>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</si>
  <si>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</si>
  <si>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</si>
  <si>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</si>
  <si>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</si>
  <si>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</si>
  <si>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</si>
  <si>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</si>
  <si>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</si>
  <si>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</si>
  <si>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</si>
  <si>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</si>
  <si>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</si>
  <si>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</si>
  <si>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</si>
  <si>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</si>
  <si>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</si>
  <si>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</si>
  <si>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</si>
  <si>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</si>
  <si>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</si>
  <si>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</si>
  <si>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</si>
  <si>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</si>
  <si>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</si>
  <si>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</si>
  <si>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</si>
  <si>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</si>
  <si>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</si>
  <si>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</si>
  <si>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</si>
  <si>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</si>
  <si>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</si>
  <si>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</si>
  <si>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</si>
  <si>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</si>
  <si>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</si>
  <si>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</si>
  <si>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</si>
  <si>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</si>
  <si>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</si>
  <si>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</si>
  <si>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</si>
  <si>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</si>
  <si>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</si>
  <si>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</si>
  <si>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</si>
  <si>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</si>
  <si>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</si>
  <si>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</si>
  <si>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</si>
  <si>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</si>
  <si>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</si>
  <si>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</si>
  <si>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</si>
  <si>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</si>
  <si>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</si>
  <si>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</si>
  <si>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</si>
  <si>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</si>
  <si>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</si>
  <si>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</si>
  <si>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</si>
  <si>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</si>
  <si>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</si>
  <si>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</si>
  <si>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</si>
  <si>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</si>
  <si>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</si>
  <si>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</si>
  <si>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</si>
  <si>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</si>
  <si>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</si>
  <si>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</si>
  <si>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</si>
  <si>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</si>
  <si>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</si>
  <si>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</si>
  <si>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</si>
  <si>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</si>
  <si>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</si>
  <si>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</si>
  <si>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</si>
  <si>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</si>
  <si>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</si>
  <si>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</si>
  <si>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</si>
  <si>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</si>
  <si>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</si>
  <si>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</si>
  <si>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</si>
  <si>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</si>
  <si>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</si>
  <si>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</si>
  <si>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</si>
  <si>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</si>
  <si>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</si>
  <si>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</si>
  <si>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</si>
  <si>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</si>
  <si>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</si>
  <si>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</si>
  <si>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</si>
  <si>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</si>
  <si>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</si>
  <si>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</si>
  <si>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</si>
  <si>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</si>
  <si>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</si>
  <si>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</si>
  <si>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</si>
  <si>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</si>
  <si>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</si>
  <si>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</si>
  <si>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</si>
  <si>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</si>
  <si>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</si>
  <si>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</si>
  <si>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</si>
  <si>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</si>
  <si>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</si>
  <si>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</si>
  <si>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</si>
  <si>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</si>
  <si>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</si>
  <si>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</si>
  <si>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</si>
  <si>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</si>
  <si>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</si>
  <si>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</si>
  <si>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</si>
  <si>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</si>
  <si>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</si>
  <si>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</si>
  <si>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</si>
  <si>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</si>
  <si>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</si>
  <si>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</si>
  <si>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</si>
  <si>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</si>
  <si>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</si>
  <si>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</si>
  <si>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</si>
  <si>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</si>
  <si>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</si>
  <si>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</si>
  <si>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</si>
  <si>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</si>
  <si>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</si>
  <si>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</si>
  <si>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</si>
  <si>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</si>
  <si>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</si>
  <si>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</si>
  <si>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</si>
  <si>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</si>
  <si>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</si>
  <si>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</si>
  <si>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</si>
  <si>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</si>
  <si>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</si>
  <si>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</si>
  <si>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</si>
  <si>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</si>
  <si>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</si>
  <si>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</si>
  <si>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</si>
  <si>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</si>
  <si>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</si>
  <si>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</si>
  <si>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</si>
  <si>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</si>
  <si>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</si>
  <si>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</si>
  <si>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</si>
  <si>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</si>
  <si>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</si>
  <si>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</si>
  <si>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</si>
  <si>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</si>
  <si>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</si>
  <si>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</si>
  <si>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</si>
  <si>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</si>
  <si>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</si>
  <si>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</si>
  <si>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</si>
  <si>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</si>
  <si>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</si>
  <si>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</si>
  <si>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</si>
  <si>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</si>
  <si>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</si>
  <si>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</si>
  <si>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</si>
  <si>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</si>
  <si>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</si>
  <si>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</si>
  <si>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</si>
  <si>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</si>
  <si>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</si>
  <si>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</si>
  <si>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</si>
  <si>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</si>
  <si>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</si>
  <si>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</si>
  <si>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</si>
  <si>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</si>
  <si>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</si>
  <si>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</si>
  <si>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</si>
  <si>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</si>
  <si>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</si>
  <si>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</si>
  <si>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</si>
  <si>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</si>
  <si>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</si>
  <si>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</si>
  <si>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</si>
  <si>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</si>
  <si>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</si>
  <si>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</si>
  <si>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</si>
  <si>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</si>
  <si>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</si>
  <si>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</si>
  <si>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</si>
  <si>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</si>
  <si>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</si>
  <si>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</si>
  <si>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</si>
  <si>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</si>
  <si>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</si>
  <si>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</si>
  <si>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</si>
  <si>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</si>
  <si>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</si>
  <si>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</si>
  <si>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</si>
  <si>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</si>
  <si>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</si>
  <si>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</si>
  <si>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</si>
  <si>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</si>
  <si>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</si>
  <si>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</si>
  <si>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</si>
  <si>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</si>
  <si>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</si>
  <si>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</si>
  <si>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</si>
  <si>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</si>
  <si>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</si>
  <si>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</si>
  <si>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</si>
  <si>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</si>
  <si>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</si>
  <si>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</si>
  <si>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</si>
  <si>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</si>
  <si>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</si>
  <si>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</si>
  <si>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</si>
  <si>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</si>
  <si>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</si>
  <si>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</si>
  <si>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</si>
  <si>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</si>
  <si>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</si>
  <si>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</si>
  <si>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</si>
  <si>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</si>
  <si>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</si>
  <si>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</si>
  <si>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</si>
  <si>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</si>
  <si>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</si>
  <si>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</si>
  <si>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</si>
  <si>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</si>
  <si>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</si>
  <si>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</si>
  <si>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</si>
  <si>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</si>
  <si>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</si>
  <si>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</si>
  <si>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</si>
  <si>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</si>
  <si>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</si>
  <si>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</si>
  <si>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</si>
  <si>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</si>
  <si>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</si>
  <si>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</si>
  <si>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</si>
  <si>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</si>
  <si>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</si>
  <si>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</si>
  <si>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</si>
  <si>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</si>
  <si>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</si>
  <si>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</si>
  <si>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</si>
  <si>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</si>
  <si>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</si>
  <si>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</si>
  <si>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</si>
  <si>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</si>
  <si>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</si>
  <si>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</si>
  <si>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</si>
  <si>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</si>
  <si>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</si>
  <si>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</si>
  <si>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</si>
  <si>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</si>
  <si>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</si>
  <si>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</si>
  <si>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</si>
  <si>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</si>
  <si>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</si>
  <si>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</si>
  <si>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</si>
  <si>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</si>
  <si>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</si>
  <si>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</si>
  <si>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</si>
  <si>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</si>
  <si>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</si>
  <si>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</si>
  <si>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</si>
  <si>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</si>
  <si>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</si>
  <si>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</si>
  <si>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</si>
  <si>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</si>
  <si>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</si>
  <si>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</si>
  <si>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</si>
  <si>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</si>
  <si>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</si>
  <si>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</si>
  <si>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</si>
  <si>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</si>
  <si>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</si>
  <si>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</si>
  <si>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</si>
  <si>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</si>
  <si>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</si>
  <si>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</si>
  <si>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</si>
  <si>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</si>
  <si>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</si>
  <si>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</si>
  <si>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</si>
  <si>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</si>
  <si>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</si>
  <si>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</si>
  <si>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</si>
  <si>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</si>
  <si>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</si>
  <si>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</si>
  <si>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</si>
  <si>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</si>
  <si>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</si>
  <si>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</si>
  <si>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</si>
  <si>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</si>
  <si>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</si>
  <si>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</si>
  <si>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</si>
  <si>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</si>
  <si>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</si>
  <si>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</si>
  <si>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</si>
  <si>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</si>
  <si>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</si>
  <si>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</si>
  <si>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</si>
  <si>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</si>
  <si>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</si>
  <si>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</si>
  <si>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</si>
  <si>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</si>
  <si>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</si>
  <si>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</si>
  <si>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</si>
  <si>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</si>
  <si>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</si>
  <si>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</si>
  <si>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</si>
  <si>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</si>
  <si>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</si>
  <si>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</si>
  <si>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</si>
  <si>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</si>
  <si>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</si>
  <si>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</si>
  <si>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</si>
  <si>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</si>
  <si>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</si>
  <si>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</si>
  <si>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</si>
  <si>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</si>
  <si>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</si>
  <si>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</si>
  <si>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</si>
  <si>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</si>
  <si>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</si>
  <si>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</si>
  <si>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</si>
  <si>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</si>
  <si>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</si>
  <si>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</si>
  <si>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</si>
  <si>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</si>
  <si>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</si>
  <si>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</si>
  <si>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</si>
  <si>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</si>
  <si>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</si>
  <si>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</si>
  <si>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</si>
  <si>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</si>
  <si>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</si>
  <si>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</si>
  <si>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</si>
  <si>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</si>
  <si>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</si>
  <si>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</si>
  <si>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</si>
  <si>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</si>
  <si>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</si>
  <si>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</si>
  <si>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</si>
  <si>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</si>
  <si>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</si>
  <si>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</si>
  <si>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</si>
  <si>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</si>
  <si>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</si>
  <si>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</si>
  <si>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</si>
  <si>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</si>
  <si>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</si>
  <si>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</si>
  <si>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</si>
  <si>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</si>
  <si>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</si>
  <si>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</si>
  <si>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</si>
  <si>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</si>
  <si>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</si>
  <si>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</si>
  <si>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</si>
  <si>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</si>
  <si>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</si>
  <si>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</si>
  <si>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</si>
  <si>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</si>
  <si>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</si>
  <si>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</si>
  <si>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</si>
  <si>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</si>
  <si>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</si>
  <si>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</si>
  <si>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</si>
  <si>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</si>
  <si>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</si>
  <si>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</si>
  <si>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</si>
  <si>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</si>
  <si>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</si>
  <si>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</si>
  <si>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</si>
  <si>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</si>
  <si>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</si>
  <si>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</si>
  <si>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</si>
  <si>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</si>
  <si>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</si>
  <si>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</si>
  <si>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</si>
  <si>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</si>
  <si>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</si>
  <si>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</si>
  <si>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</si>
  <si>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</si>
  <si>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</si>
  <si>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</si>
  <si>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</si>
  <si>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</si>
  <si>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</si>
  <si>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</si>
  <si>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</si>
  <si>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</si>
  <si>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</si>
  <si>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</si>
  <si>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</si>
  <si>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</si>
  <si>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</si>
  <si>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</si>
  <si>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</si>
  <si>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</si>
  <si>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</si>
  <si>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</si>
  <si>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</si>
  <si>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</si>
  <si>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</si>
  <si>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</si>
  <si>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</si>
  <si>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</si>
  <si>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</si>
  <si>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</si>
  <si>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</si>
  <si>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</si>
  <si>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</si>
  <si>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</si>
  <si>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</si>
  <si>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</si>
  <si>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</si>
  <si>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</si>
  <si>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</si>
  <si>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</si>
  <si>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</si>
  <si>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</si>
  <si>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</si>
  <si>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</si>
  <si>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</si>
  <si>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</si>
  <si>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</si>
  <si>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</si>
  <si>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</si>
  <si>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</si>
  <si>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</si>
  <si>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</si>
  <si>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</si>
  <si>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</si>
  <si>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</si>
  <si>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</si>
  <si>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</si>
  <si>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</si>
  <si>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</si>
  <si>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</si>
  <si>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</si>
  <si>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</si>
  <si>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</si>
  <si>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</si>
  <si>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</si>
  <si>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</si>
  <si>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</si>
  <si>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</si>
  <si>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</si>
  <si>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</si>
  <si>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</si>
  <si>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</si>
  <si>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</si>
  <si>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</si>
  <si>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</si>
  <si>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</si>
  <si>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</si>
  <si>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</si>
  <si>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</si>
  <si>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</si>
  <si>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</si>
  <si>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</si>
  <si>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</si>
  <si>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</si>
  <si>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</si>
  <si>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</si>
  <si>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</si>
  <si>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</si>
  <si>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</si>
  <si>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</si>
  <si>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</si>
  <si>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</si>
  <si>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</si>
  <si>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</si>
  <si>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</si>
  <si>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</si>
  <si>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</si>
  <si>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</si>
  <si>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</si>
  <si>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</si>
  <si>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</si>
  <si>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</si>
  <si>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</si>
  <si>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</si>
  <si>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</si>
  <si>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</si>
  <si>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</si>
  <si>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</si>
  <si>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</si>
  <si>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</si>
  <si>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</si>
  <si>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</si>
  <si>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</si>
  <si>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</si>
  <si>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</si>
  <si>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</si>
  <si>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</si>
  <si>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</si>
  <si>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</si>
  <si>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</si>
  <si>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</si>
  <si>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</si>
  <si>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</si>
  <si>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</si>
  <si>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</si>
  <si>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</si>
  <si>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</si>
  <si>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</si>
  <si>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</si>
  <si>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</si>
  <si>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</si>
  <si>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</si>
  <si>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</si>
  <si>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</si>
  <si>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</si>
  <si>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</si>
  <si>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</si>
  <si>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</si>
  <si>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</si>
  <si>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</si>
  <si>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</si>
  <si>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</si>
  <si>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</si>
  <si>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</si>
  <si>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</si>
  <si>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</si>
  <si>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</si>
  <si>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</si>
  <si>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</si>
  <si>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</si>
  <si>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</si>
  <si>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</si>
  <si>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</si>
  <si>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</si>
  <si>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</si>
  <si>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</si>
  <si>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</si>
  <si>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</si>
  <si>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</si>
  <si>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</si>
  <si>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</si>
  <si>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</si>
  <si>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</si>
  <si>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</si>
  <si>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</si>
  <si>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</si>
  <si>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</si>
  <si>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</si>
  <si>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</si>
  <si>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</si>
  <si>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</si>
  <si>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</si>
  <si>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</si>
  <si>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</si>
  <si>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</si>
  <si>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</si>
  <si>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</si>
  <si>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</si>
  <si>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</si>
  <si>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</si>
  <si>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</si>
  <si>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</si>
  <si>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</si>
  <si>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</si>
  <si>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</si>
  <si>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</si>
  <si>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</si>
  <si>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</si>
  <si>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</si>
  <si>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</si>
  <si>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</si>
  <si>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</si>
  <si>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</si>
  <si>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</si>
  <si>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</si>
  <si>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</si>
  <si>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</si>
  <si>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</si>
  <si>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</si>
  <si>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</si>
  <si>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</si>
  <si>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</si>
  <si>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</si>
  <si>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</si>
  <si>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</si>
  <si>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</si>
  <si>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</si>
  <si>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</si>
  <si>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</si>
  <si>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</si>
  <si>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</si>
  <si>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</si>
  <si>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</si>
  <si>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</si>
  <si>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</si>
  <si>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</si>
  <si>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</si>
  <si>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</si>
  <si>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</si>
  <si>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</si>
  <si>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</si>
  <si>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</si>
  <si>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</si>
  <si>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</si>
  <si>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</si>
  <si>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</si>
  <si>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</si>
  <si>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</si>
  <si>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</si>
  <si>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</si>
  <si>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</si>
  <si>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</si>
  <si>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</si>
  <si>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</si>
  <si>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</si>
  <si>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</si>
  <si>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</si>
  <si>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</si>
  <si>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</si>
  <si>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</si>
  <si>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</si>
  <si>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</si>
  <si>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</si>
  <si>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</si>
  <si>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</si>
  <si>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</si>
  <si>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</si>
  <si>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</si>
  <si>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</si>
  <si>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</si>
  <si>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</si>
  <si>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</si>
  <si>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</si>
  <si>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</si>
  <si>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</si>
  <si>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</si>
  <si>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</si>
  <si>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</si>
  <si>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</si>
  <si>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</si>
  <si>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</si>
  <si>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</si>
  <si>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</si>
  <si>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</si>
  <si>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</si>
  <si>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</si>
  <si>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</si>
  <si>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</si>
  <si>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</si>
  <si>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</si>
  <si>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</si>
  <si>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</si>
  <si>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</si>
  <si>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</si>
  <si>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</si>
  <si>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</si>
  <si>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</si>
  <si>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</si>
  <si>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</si>
  <si>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</si>
  <si>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</si>
  <si>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</si>
  <si>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</si>
  <si>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</si>
  <si>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</si>
  <si>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</si>
  <si>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</si>
  <si>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</si>
  <si>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</si>
  <si>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</si>
  <si>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</si>
  <si>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</si>
  <si>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</si>
  <si>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</si>
  <si>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</si>
  <si>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</si>
  <si>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</si>
  <si>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</si>
  <si>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</si>
  <si>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</si>
  <si>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</si>
  <si>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</si>
  <si>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</si>
  <si>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</si>
  <si>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</si>
  <si>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</si>
  <si>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</si>
  <si>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</si>
  <si>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</si>
  <si>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</si>
  <si>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</si>
  <si>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</si>
  <si>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</si>
  <si>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</si>
  <si>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</si>
  <si>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</si>
  <si>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</si>
  <si>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</si>
  <si>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</si>
  <si>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</si>
  <si>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</si>
  <si>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</si>
  <si>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</si>
  <si>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</si>
  <si>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</si>
  <si>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</si>
  <si>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</si>
  <si>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</si>
  <si>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</si>
  <si>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</si>
  <si>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</si>
  <si>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</si>
  <si>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</si>
  <si>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</si>
  <si>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</si>
  <si>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</si>
  <si>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</si>
  <si>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</si>
  <si>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</si>
  <si>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</si>
  <si>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</si>
  <si>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</si>
  <si>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</si>
  <si>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</si>
  <si>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</si>
  <si>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</si>
  <si>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</si>
  <si>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</si>
  <si>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</si>
  <si>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</si>
  <si>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</si>
  <si>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</si>
  <si>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</si>
  <si>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</si>
  <si>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</si>
  <si>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</si>
  <si>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</si>
  <si>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</si>
  <si>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</si>
  <si>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</si>
  <si>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</si>
  <si>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</si>
  <si>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</si>
  <si>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</si>
  <si>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</si>
  <si>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</si>
  <si>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</si>
  <si>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</si>
  <si>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</si>
  <si>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</si>
  <si>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</si>
  <si>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</si>
  <si>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</si>
  <si>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</si>
  <si>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</si>
  <si>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</si>
  <si>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</si>
  <si>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</si>
  <si>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</si>
  <si>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</si>
  <si>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</si>
  <si>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</si>
  <si>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</si>
  <si>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</si>
  <si>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</si>
  <si>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</si>
  <si>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</si>
  <si>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</si>
  <si>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</si>
  <si>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</si>
  <si>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</si>
  <si>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</si>
  <si>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</si>
  <si>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</si>
  <si>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</si>
  <si>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</si>
  <si>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</si>
  <si>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</si>
  <si>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</si>
  <si>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</si>
  <si>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</si>
  <si>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</si>
  <si>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</si>
  <si>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</si>
  <si>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</si>
  <si>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</si>
  <si>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</si>
  <si>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</si>
  <si>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</si>
  <si>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</si>
  <si>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</si>
  <si>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</si>
  <si>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</si>
  <si>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</si>
  <si>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</si>
  <si>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</si>
  <si>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</si>
  <si>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</si>
  <si>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</si>
  <si>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</si>
  <si>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</si>
  <si>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</si>
  <si>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</si>
  <si>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</si>
  <si>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</si>
  <si>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</si>
  <si>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</si>
  <si>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</si>
  <si>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</si>
  <si>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</si>
  <si>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</si>
  <si>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</si>
  <si>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</si>
  <si>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</si>
  <si>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</si>
  <si>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</si>
  <si>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</si>
  <si>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</si>
  <si>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</si>
  <si>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</si>
  <si>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</si>
  <si>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</si>
  <si>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</si>
  <si>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</si>
  <si>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</si>
  <si>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</si>
  <si>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</si>
  <si>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</si>
  <si>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</si>
  <si>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</si>
  <si>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</si>
  <si>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</si>
  <si>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</si>
  <si>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</si>
  <si>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</si>
  <si>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</si>
  <si>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</si>
  <si>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</si>
  <si>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</si>
  <si>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</si>
  <si>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</si>
  <si>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</si>
  <si>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</si>
  <si>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</si>
  <si>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</si>
  <si>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</si>
  <si>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</si>
  <si>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</si>
  <si>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</si>
  <si>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</si>
  <si>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</si>
  <si>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</si>
  <si>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</si>
  <si>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</si>
  <si>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</si>
  <si>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</si>
  <si>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</si>
  <si>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</si>
  <si>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</si>
  <si>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</si>
  <si>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</si>
  <si>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</si>
  <si>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</si>
  <si>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</si>
  <si>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</si>
  <si>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</si>
  <si>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</si>
  <si>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</si>
  <si>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</si>
  <si>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</si>
  <si>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</si>
  <si>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</si>
  <si>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</si>
  <si>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</si>
  <si>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</si>
  <si>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</si>
  <si>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</si>
  <si>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</si>
  <si>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</si>
  <si>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</si>
  <si>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</si>
  <si>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</si>
  <si>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</si>
  <si>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</si>
  <si>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</si>
  <si>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</si>
  <si>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</si>
  <si>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</si>
  <si>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</si>
  <si>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</si>
  <si>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</si>
  <si>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</si>
  <si>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</si>
  <si>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</si>
  <si>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</si>
  <si>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</si>
  <si>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</si>
  <si>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</si>
  <si>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</si>
  <si>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</si>
  <si>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</si>
  <si>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</si>
  <si>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</si>
  <si>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</si>
  <si>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</si>
  <si>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</si>
  <si>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</si>
  <si>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</si>
  <si>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</si>
  <si>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</si>
  <si>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</si>
  <si>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</si>
  <si>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</si>
  <si>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</si>
  <si>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</si>
  <si>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</si>
  <si>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</si>
  <si>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</si>
  <si>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</si>
  <si>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</si>
  <si>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</si>
  <si>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</si>
  <si>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</si>
  <si>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</si>
  <si>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</si>
  <si>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</si>
  <si>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</si>
  <si>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</si>
  <si>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</si>
  <si>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</si>
  <si>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</si>
  <si>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</si>
  <si>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</si>
  <si>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</si>
  <si>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</si>
  <si>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</si>
  <si>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</si>
  <si>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</si>
  <si>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</si>
  <si>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</si>
  <si>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</si>
  <si>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</si>
  <si>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</si>
  <si>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</si>
  <si>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</si>
  <si>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</si>
  <si>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</si>
  <si>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</si>
  <si>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</si>
  <si>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</si>
  <si>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</si>
  <si>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</si>
  <si>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</si>
  <si>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</si>
  <si>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</si>
  <si>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</si>
  <si>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</si>
  <si>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</si>
  <si>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</si>
  <si>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</si>
  <si>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</si>
  <si>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</si>
  <si>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</si>
  <si>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</si>
  <si>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</si>
  <si>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</si>
  <si>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</si>
  <si>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</si>
  <si>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</si>
  <si>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</si>
  <si>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</si>
  <si>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</si>
  <si>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</si>
  <si>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</si>
  <si>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</si>
  <si>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</si>
  <si>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</si>
  <si>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</si>
  <si>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</si>
  <si>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</si>
  <si>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</si>
  <si>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</si>
  <si>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</si>
  <si>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</si>
  <si>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</si>
  <si>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</si>
  <si>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</si>
  <si>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</si>
  <si>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</si>
  <si>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</si>
  <si>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</si>
  <si>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</si>
  <si>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</si>
  <si>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</si>
  <si>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</si>
  <si>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</si>
  <si>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</si>
  <si>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</si>
  <si>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</si>
  <si>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</si>
  <si>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</si>
  <si>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</si>
  <si>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</si>
  <si>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</si>
  <si>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</si>
  <si>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</si>
  <si>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</si>
  <si>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</si>
  <si>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</si>
  <si>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</si>
  <si>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</si>
  <si>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</si>
  <si>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</si>
  <si>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</si>
  <si>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</si>
  <si>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</si>
  <si>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</si>
  <si>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</si>
  <si>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</si>
  <si>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</si>
  <si>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</si>
  <si>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</si>
  <si>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</si>
  <si>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</si>
  <si>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</si>
  <si>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</si>
  <si>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</si>
  <si>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</si>
  <si>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</si>
  <si>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</si>
  <si>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</si>
  <si>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</si>
  <si>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</si>
  <si>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</si>
  <si>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</si>
  <si>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</si>
  <si>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</si>
  <si>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</si>
  <si>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</si>
  <si>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</si>
  <si>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</si>
  <si>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</si>
  <si>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</si>
  <si>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</si>
  <si>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</si>
  <si>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</si>
  <si>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</si>
  <si>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</si>
  <si>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</si>
  <si>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</si>
  <si>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</si>
  <si>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</si>
  <si>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</si>
  <si>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</si>
  <si>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</si>
  <si>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</si>
  <si>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</si>
  <si>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</si>
  <si>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</si>
  <si>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</si>
  <si>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</si>
  <si>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</si>
  <si>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</si>
  <si>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</si>
  <si>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</si>
  <si>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</si>
  <si>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</si>
  <si>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</si>
  <si>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</si>
  <si>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</si>
  <si>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</si>
  <si>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</si>
  <si>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</si>
  <si>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</si>
  <si>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</si>
  <si>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</si>
  <si>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</si>
  <si>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</si>
  <si>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</si>
  <si>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</si>
  <si>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</si>
  <si>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</si>
  <si>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</si>
  <si>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</si>
  <si>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</si>
  <si>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</si>
  <si>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</si>
  <si>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</si>
  <si>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</si>
  <si>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</si>
  <si>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</si>
  <si>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</si>
  <si>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</si>
  <si>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</si>
  <si>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</si>
  <si>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</si>
  <si>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</si>
  <si>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</si>
  <si>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</si>
  <si>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</si>
  <si>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</si>
  <si>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</si>
  <si>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</si>
  <si>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</si>
  <si>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</si>
  <si>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</si>
  <si>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</si>
  <si>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</si>
  <si>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</si>
  <si>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</si>
  <si>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</si>
  <si>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</si>
  <si>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</si>
  <si>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</si>
  <si>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</si>
  <si>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</si>
  <si>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</si>
  <si>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</si>
  <si>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</si>
  <si>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</si>
  <si>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</si>
  <si>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</si>
  <si>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</si>
  <si>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</si>
  <si>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</si>
  <si>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</si>
  <si>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</si>
  <si>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</si>
  <si>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</si>
  <si>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</si>
  <si>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</si>
  <si>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</si>
  <si>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</si>
  <si>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</si>
  <si>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</si>
  <si>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</si>
  <si>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</si>
  <si>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</si>
  <si>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</si>
  <si>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</si>
  <si>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</si>
  <si>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</si>
  <si>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</si>
  <si>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</si>
  <si>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</si>
  <si>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</si>
  <si>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</si>
  <si>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</si>
  <si>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</si>
  <si>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</si>
  <si>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</si>
  <si>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</si>
  <si>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</si>
  <si>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</si>
  <si>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</si>
  <si>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</si>
  <si>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</si>
  <si>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</si>
  <si>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</si>
  <si>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</si>
  <si>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</si>
  <si>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</si>
  <si>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</si>
  <si>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</si>
  <si>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</si>
  <si>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</si>
  <si>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</si>
  <si>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</si>
  <si>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</si>
  <si>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</si>
  <si>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</si>
  <si>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</si>
  <si>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</si>
  <si>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</si>
  <si>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</si>
  <si>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</si>
  <si>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</si>
  <si>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</si>
  <si>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</si>
  <si>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</si>
  <si>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</si>
  <si>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</si>
  <si>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</si>
  <si>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</si>
  <si>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</si>
  <si>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</si>
  <si>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</si>
  <si>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</si>
  <si>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</si>
  <si>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</si>
  <si>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</si>
  <si>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</si>
  <si>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</si>
  <si>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</si>
  <si>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</si>
  <si>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</si>
  <si>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</si>
  <si>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</si>
  <si>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</si>
  <si>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</si>
  <si>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</si>
  <si>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</si>
  <si>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</si>
  <si>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</si>
  <si>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</si>
  <si>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</si>
  <si>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</si>
  <si>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</si>
  <si>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</si>
  <si>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</si>
  <si>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</si>
  <si>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</si>
  <si>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</si>
  <si>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</si>
  <si>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</si>
  <si>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</si>
  <si>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</si>
  <si>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</si>
  <si>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</si>
  <si>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</si>
  <si>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</si>
  <si>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</si>
  <si>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</si>
  <si>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</si>
  <si>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</si>
  <si>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</si>
  <si>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</si>
  <si>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</si>
  <si>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</si>
  <si>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</si>
  <si>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</si>
  <si>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</si>
  <si>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</si>
  <si>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</si>
  <si>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</si>
  <si>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</si>
  <si>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</si>
  <si>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</si>
  <si>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</si>
  <si>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</si>
  <si>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</si>
  <si>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</si>
  <si>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</si>
  <si>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</si>
  <si>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</si>
  <si>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</si>
  <si>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</si>
  <si>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</si>
  <si>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</si>
  <si>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</si>
  <si>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</si>
  <si>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</si>
  <si>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</si>
  <si>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</si>
  <si>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</si>
  <si>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</si>
  <si>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</si>
  <si>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</si>
  <si>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</si>
  <si>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</si>
  <si>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</si>
  <si>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</si>
  <si>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</si>
  <si>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</si>
  <si>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</si>
  <si>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</si>
  <si>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</si>
  <si>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</si>
  <si>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</si>
  <si>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</si>
  <si>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</si>
  <si>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</si>
  <si>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</si>
  <si>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</si>
  <si>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</si>
  <si>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</si>
  <si>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</si>
  <si>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</si>
  <si>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</si>
  <si>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</si>
  <si>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</si>
  <si>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</si>
  <si>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</si>
  <si>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</si>
  <si>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</si>
  <si>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</si>
  <si>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</si>
  <si>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</si>
  <si>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</si>
  <si>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</si>
  <si>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</si>
  <si>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</si>
  <si>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</si>
  <si>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</si>
  <si>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</si>
  <si>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</si>
  <si>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</si>
  <si>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</si>
  <si>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</si>
  <si>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</si>
  <si>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</si>
  <si>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</si>
  <si>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</si>
  <si>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</si>
  <si>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</si>
  <si>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</si>
  <si>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</si>
  <si>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</si>
  <si>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</si>
  <si>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</si>
  <si>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</si>
  <si>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</si>
  <si>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</si>
  <si>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</si>
  <si>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</si>
  <si>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</si>
  <si>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</si>
  <si>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</si>
  <si>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</si>
  <si>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</si>
  <si>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</si>
  <si>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</si>
  <si>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</si>
  <si>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</si>
  <si>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</si>
  <si>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</si>
  <si>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</si>
  <si>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</si>
  <si>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</si>
  <si>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</si>
  <si>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</si>
  <si>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</si>
  <si>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</si>
  <si>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</si>
  <si>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</si>
  <si>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</si>
  <si>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</si>
  <si>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</si>
  <si>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</si>
  <si>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</si>
  <si>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</si>
  <si>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</si>
  <si>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</si>
  <si>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</si>
  <si>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</si>
  <si>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</si>
  <si>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</si>
  <si>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</si>
  <si>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</si>
  <si>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</si>
  <si>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</si>
  <si>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</si>
  <si>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</si>
  <si>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</si>
  <si>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</si>
  <si>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</si>
  <si>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</si>
  <si>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</si>
  <si>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</si>
  <si>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</si>
  <si>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</si>
  <si>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</si>
  <si>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</si>
  <si>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</si>
  <si>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</si>
  <si>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</si>
  <si>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</si>
  <si>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</si>
  <si>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</si>
  <si>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</si>
  <si>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</si>
  <si>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</si>
  <si>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</si>
  <si>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</si>
  <si>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</si>
  <si>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</si>
  <si>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</si>
  <si>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</si>
  <si>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</si>
  <si>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</si>
  <si>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</si>
  <si>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</si>
  <si>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</si>
  <si>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</si>
  <si>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</si>
  <si>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</si>
  <si>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</si>
  <si>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</si>
  <si>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</si>
  <si>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</si>
  <si>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</si>
  <si>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</si>
  <si>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</si>
  <si>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</si>
  <si>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</si>
  <si>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</si>
  <si>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</si>
  <si>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</si>
  <si>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</si>
  <si>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</si>
  <si>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</si>
  <si>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</si>
  <si>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</si>
  <si>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</si>
  <si>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</si>
  <si>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</si>
  <si>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</si>
  <si>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</si>
  <si>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</si>
  <si>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</si>
  <si>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</si>
  <si>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</si>
  <si>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</si>
  <si>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</si>
  <si>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</si>
  <si>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</si>
  <si>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</si>
  <si>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</si>
  <si>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</si>
  <si>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</si>
  <si>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</si>
  <si>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</si>
  <si>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</si>
  <si>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</si>
  <si>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</si>
  <si>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</si>
  <si>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</si>
  <si>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</si>
  <si>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</si>
  <si>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</si>
  <si>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</si>
  <si>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</si>
  <si>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</si>
  <si>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</si>
  <si>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</si>
  <si>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</si>
  <si>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</si>
  <si>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</si>
  <si>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</si>
  <si>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</si>
  <si>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</si>
  <si>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</si>
  <si>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</si>
  <si>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</si>
  <si>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</si>
  <si>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</si>
  <si>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</si>
  <si>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</si>
  <si>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</si>
  <si>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</si>
  <si>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</si>
  <si>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</si>
  <si>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</si>
  <si>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</si>
  <si>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</si>
  <si>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</si>
  <si>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</si>
  <si>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</si>
  <si>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</si>
  <si>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</si>
  <si>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</si>
  <si>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</si>
  <si>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</si>
  <si>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</si>
  <si>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</si>
  <si>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</si>
  <si>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</si>
  <si>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</si>
  <si>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</si>
  <si>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</si>
  <si>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</si>
  <si>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</si>
  <si>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</si>
  <si>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</si>
  <si>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</si>
  <si>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</si>
  <si>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</si>
  <si>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</si>
  <si>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</si>
  <si>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</si>
  <si>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</si>
  <si>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</si>
  <si>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</si>
  <si>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</si>
  <si>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</si>
  <si>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</si>
  <si>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</si>
  <si>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</si>
  <si>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</si>
  <si>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</si>
  <si>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</si>
  <si>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</si>
  <si>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</si>
  <si>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</si>
  <si>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</si>
  <si>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</si>
  <si>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</si>
  <si>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</si>
  <si>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</si>
  <si>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</si>
  <si>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</si>
  <si>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</si>
  <si>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</si>
  <si>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</si>
  <si>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</si>
  <si>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</si>
  <si>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</si>
  <si>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</si>
  <si>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</si>
  <si>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</si>
  <si>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</si>
  <si>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</si>
  <si>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</si>
  <si>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</si>
  <si>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</si>
  <si>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</si>
  <si>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</si>
  <si>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</si>
  <si>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</si>
  <si>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</si>
  <si>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</si>
  <si>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</si>
  <si>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</si>
  <si>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</si>
  <si>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</si>
  <si>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</si>
  <si>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</si>
  <si>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</si>
  <si>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</si>
  <si>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</si>
  <si>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</si>
  <si>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</si>
  <si>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</si>
  <si>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</si>
  <si>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</si>
  <si>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</si>
  <si>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</si>
  <si>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</si>
  <si>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</si>
  <si>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</si>
  <si>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</si>
  <si>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</si>
  <si>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</si>
  <si>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</si>
  <si>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</si>
  <si>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</si>
  <si>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</si>
  <si>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</si>
  <si>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</si>
  <si>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</si>
  <si>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</si>
  <si>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</si>
  <si>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</si>
  <si>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</si>
  <si>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</si>
  <si>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</si>
  <si>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</si>
  <si>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</si>
  <si>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</si>
  <si>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</si>
  <si>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</si>
  <si>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</si>
  <si>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</si>
  <si>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</si>
  <si>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</si>
  <si>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</si>
  <si>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</si>
  <si>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</si>
  <si>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</si>
  <si>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</si>
  <si>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</si>
  <si>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</si>
  <si>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</si>
  <si>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</si>
  <si>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</si>
  <si>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</si>
  <si>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</si>
  <si>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</si>
  <si>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</si>
  <si>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</si>
  <si>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</si>
  <si>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</si>
  <si>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</si>
  <si>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</si>
  <si>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</si>
  <si>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</si>
  <si>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</si>
  <si>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</si>
  <si>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</si>
  <si>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</si>
  <si>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</si>
  <si>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</si>
  <si>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</si>
  <si>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</si>
  <si>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</si>
  <si>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</si>
  <si>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</si>
  <si>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</si>
  <si>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</si>
  <si>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</si>
  <si>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</si>
  <si>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</si>
  <si>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</si>
  <si>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</si>
  <si>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</si>
  <si>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</si>
  <si>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</si>
  <si>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</si>
  <si>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</si>
  <si>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</si>
  <si>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</si>
  <si>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</si>
  <si>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</si>
  <si>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</si>
  <si>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</si>
  <si>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</si>
  <si>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</si>
  <si>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</si>
  <si>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</si>
  <si>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</si>
  <si>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</si>
  <si>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</si>
  <si>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</si>
  <si>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</si>
  <si>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</si>
  <si>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</si>
  <si>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</si>
  <si>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</si>
  <si>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</si>
  <si>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</si>
  <si>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</si>
  <si>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</si>
  <si>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</si>
  <si>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</si>
  <si>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</si>
  <si>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</si>
  <si>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</si>
  <si>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</si>
  <si>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</si>
  <si>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</si>
  <si>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</si>
  <si>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</si>
  <si>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</si>
  <si>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</si>
  <si>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</si>
  <si>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</si>
  <si>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</si>
  <si>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</si>
  <si>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</si>
  <si>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</si>
  <si>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</si>
  <si>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</si>
  <si>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</si>
  <si>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</si>
  <si>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</si>
  <si>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</si>
  <si>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</si>
  <si>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</si>
  <si>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</si>
  <si>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</si>
  <si>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</si>
  <si>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</si>
  <si>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</si>
  <si>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</si>
  <si>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</si>
  <si>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</si>
  <si>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</si>
  <si>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</si>
  <si>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</si>
  <si>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</si>
  <si>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</si>
  <si>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</si>
  <si>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</si>
  <si>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</si>
  <si>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</si>
  <si>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</si>
  <si>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</si>
  <si>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</si>
  <si>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</si>
  <si>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</si>
  <si>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</si>
  <si>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</si>
  <si>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</si>
  <si>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</si>
  <si>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</si>
  <si>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</si>
  <si>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</si>
  <si>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</si>
  <si>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</si>
  <si>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</si>
  <si>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</si>
  <si>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</si>
  <si>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</si>
  <si>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</si>
  <si>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</si>
  <si>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</si>
  <si>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</si>
  <si>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</si>
  <si>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</si>
  <si>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</si>
  <si>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</si>
  <si>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</si>
  <si>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</si>
  <si>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</si>
  <si>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</si>
  <si>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</si>
  <si>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</si>
  <si>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</si>
  <si>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</si>
  <si>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</si>
  <si>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</si>
  <si>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</si>
  <si>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</si>
  <si>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</si>
  <si>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</si>
  <si>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</si>
  <si>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</si>
  <si>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</si>
  <si>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</si>
  <si>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</si>
  <si>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</si>
  <si>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</si>
  <si>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</si>
  <si>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</si>
  <si>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</si>
  <si>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</si>
  <si>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</si>
  <si>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</si>
  <si>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</si>
  <si>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</si>
  <si>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</si>
  <si>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</si>
  <si>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</si>
  <si>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</si>
  <si>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</si>
  <si>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</si>
  <si>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</si>
  <si>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</si>
  <si>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</si>
  <si>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</si>
  <si>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</si>
  <si>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</si>
  <si>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</si>
  <si>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</si>
  <si>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</si>
  <si>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</si>
  <si>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</si>
  <si>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</si>
  <si>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</si>
  <si>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</si>
  <si>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</si>
  <si>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</si>
  <si>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</si>
  <si>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</si>
  <si>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</si>
  <si>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</si>
  <si>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</si>
  <si>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</si>
  <si>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</si>
  <si>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</si>
  <si>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</si>
  <si>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</si>
  <si>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</si>
  <si>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</si>
  <si>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</si>
  <si>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</si>
  <si>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</si>
  <si>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</si>
  <si>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</si>
  <si>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</si>
  <si>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</si>
  <si>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</si>
  <si>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</si>
  <si>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</si>
  <si>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</si>
  <si>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</si>
  <si>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</si>
  <si>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</si>
  <si>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</si>
  <si>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</si>
  <si>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</si>
  <si>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</si>
  <si>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</si>
  <si>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</si>
  <si>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</si>
  <si>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</si>
  <si>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</si>
  <si>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</si>
  <si>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</si>
  <si>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</si>
  <si>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</si>
  <si>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</si>
  <si>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</si>
  <si>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</si>
  <si>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</si>
  <si>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</si>
  <si>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</si>
  <si>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</si>
  <si>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</si>
  <si>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</si>
  <si>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</si>
  <si>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</si>
  <si>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</si>
  <si>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</si>
  <si>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</si>
  <si>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</si>
  <si>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</si>
  <si>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</si>
  <si>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</si>
  <si>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</si>
  <si>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</si>
  <si>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</si>
  <si>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</si>
  <si>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</si>
  <si>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</si>
  <si>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</si>
  <si>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</si>
  <si>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</si>
  <si>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</si>
  <si>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</si>
  <si>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</si>
  <si>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</si>
  <si>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</si>
  <si>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</si>
  <si>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</si>
  <si>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</si>
  <si>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</si>
  <si>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</si>
  <si>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</si>
  <si>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</si>
  <si>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</si>
  <si>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</si>
  <si>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</si>
  <si>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</si>
  <si>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</si>
  <si>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</si>
  <si>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</si>
  <si>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</si>
  <si>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</si>
  <si>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</si>
  <si>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</si>
  <si>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</si>
  <si>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</si>
  <si>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</si>
  <si>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</si>
  <si>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</si>
  <si>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</si>
  <si>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</si>
  <si>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</si>
  <si>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</si>
  <si>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</si>
  <si>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</si>
  <si>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</si>
  <si>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</si>
  <si>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</si>
  <si>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</si>
  <si>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</si>
  <si>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</si>
  <si>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</si>
  <si>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</si>
  <si>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</si>
  <si>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</si>
  <si>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</si>
  <si>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</si>
  <si>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</si>
  <si>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</si>
  <si>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</si>
  <si>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</si>
  <si>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</si>
  <si>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</si>
  <si>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</si>
  <si>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</si>
  <si>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</si>
  <si>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</si>
  <si>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</si>
  <si>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</si>
  <si>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</si>
  <si>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</si>
  <si>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</si>
  <si>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</si>
  <si>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</si>
  <si>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</si>
  <si>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</si>
  <si>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</si>
  <si>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</si>
  <si>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</si>
  <si>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</si>
  <si>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</si>
  <si>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</si>
  <si>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</si>
  <si>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</si>
  <si>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</si>
  <si>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</si>
  <si>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</si>
  <si>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</si>
  <si>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</si>
  <si>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</si>
  <si>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</si>
  <si>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</si>
  <si>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</si>
  <si>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</si>
  <si>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</si>
  <si>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</si>
  <si>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</si>
  <si>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</si>
  <si>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</si>
  <si>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</si>
  <si>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</si>
  <si>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</si>
  <si>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</si>
  <si>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</si>
  <si>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</si>
  <si>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</si>
  <si>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</si>
  <si>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</si>
  <si>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</si>
  <si>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</si>
  <si>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</si>
  <si>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</si>
  <si>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</si>
  <si>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</si>
  <si>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</si>
  <si>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</si>
  <si>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</si>
  <si>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</si>
  <si>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</si>
  <si>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</si>
  <si>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</si>
  <si>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</si>
  <si>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</si>
  <si>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</si>
  <si>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</si>
  <si>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</si>
  <si>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</si>
  <si>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</si>
  <si>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</si>
  <si>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</si>
  <si>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</si>
  <si>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</si>
  <si>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</si>
  <si>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</si>
  <si>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</si>
  <si>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</si>
  <si>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</si>
  <si>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</si>
  <si>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</si>
  <si>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</si>
  <si>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</si>
  <si>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</si>
  <si>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</si>
  <si>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</si>
  <si>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</si>
  <si>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</si>
  <si>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</si>
  <si>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</si>
  <si>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</si>
  <si>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</si>
  <si>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</si>
  <si>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</si>
  <si>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</si>
  <si>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</si>
  <si>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</si>
  <si>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</si>
  <si>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</si>
  <si>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</si>
  <si>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</si>
  <si>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</si>
  <si>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</si>
  <si>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</si>
  <si>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</si>
  <si>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</si>
  <si>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</si>
  <si>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</si>
  <si>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</si>
  <si>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</si>
  <si>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</si>
  <si>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</si>
  <si>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</si>
  <si>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</si>
  <si>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</si>
  <si>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</si>
  <si>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</si>
  <si>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</si>
  <si>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</si>
  <si>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</si>
  <si>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</si>
  <si>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</si>
  <si>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</si>
  <si>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</si>
  <si>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</si>
  <si>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</si>
  <si>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</si>
  <si>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</si>
  <si>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</si>
  <si>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</si>
  <si>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</si>
  <si>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</si>
  <si>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</si>
  <si>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</si>
  <si>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</si>
  <si>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</si>
  <si>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</si>
  <si>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</si>
  <si>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</si>
  <si>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</si>
  <si>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</si>
  <si>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</si>
  <si>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</si>
  <si>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</si>
  <si>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</si>
  <si>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</si>
  <si>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</si>
  <si>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</si>
  <si>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</si>
  <si>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</si>
  <si>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</si>
  <si>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</si>
  <si>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</si>
  <si>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</si>
  <si>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</si>
  <si>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</si>
  <si>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</si>
  <si>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</si>
  <si>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</si>
  <si>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</si>
  <si>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</si>
  <si>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</si>
  <si>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</si>
  <si>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</si>
  <si>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</si>
  <si>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</si>
  <si>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</si>
  <si>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</si>
  <si>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</si>
  <si>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</si>
  <si>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</si>
  <si>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</si>
  <si>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</si>
  <si>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</si>
  <si>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</si>
  <si>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</si>
  <si>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</si>
  <si>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</si>
  <si>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</si>
  <si>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</si>
  <si>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</si>
  <si>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</si>
  <si>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</si>
  <si>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</si>
  <si>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</si>
  <si>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</si>
  <si>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</si>
  <si>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</si>
  <si>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</si>
  <si>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</si>
  <si>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</si>
  <si>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</si>
  <si>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</si>
  <si>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</si>
  <si>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</si>
  <si>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</si>
  <si>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</si>
  <si>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</si>
  <si>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</si>
  <si>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</si>
  <si>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</si>
  <si>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</si>
  <si>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</si>
  <si>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</si>
  <si>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</si>
  <si>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</si>
  <si>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</si>
  <si>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</si>
  <si>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</si>
  <si>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</si>
  <si>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</si>
  <si>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</si>
  <si>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</si>
  <si>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</si>
  <si>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</si>
  <si>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</si>
  <si>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</si>
  <si>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</si>
  <si>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</si>
  <si>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</si>
  <si>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</si>
  <si>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</si>
  <si>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</si>
  <si>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</si>
  <si>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</si>
  <si>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</si>
  <si>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</si>
  <si>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</si>
  <si>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</si>
  <si>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</si>
  <si>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</si>
  <si>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</si>
  <si>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</si>
  <si>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</si>
  <si>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</si>
  <si>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</si>
  <si>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</si>
  <si>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</si>
  <si>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</si>
  <si>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</si>
  <si>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</si>
  <si>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</si>
  <si>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</si>
  <si>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</si>
  <si>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</si>
  <si>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</si>
  <si>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</si>
  <si>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</si>
  <si>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</si>
  <si>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</si>
  <si>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</si>
  <si>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</si>
  <si>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</si>
  <si>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</si>
  <si>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</si>
  <si>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</si>
  <si>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</si>
  <si>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</si>
  <si>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</si>
  <si>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</si>
  <si>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</si>
  <si>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</si>
  <si>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</si>
  <si>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</si>
  <si>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</si>
  <si>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</si>
  <si>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</si>
  <si>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</si>
  <si>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</si>
  <si>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</si>
  <si>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</si>
  <si>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</si>
  <si>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</si>
  <si>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</si>
  <si>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</si>
  <si>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</si>
  <si>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</si>
  <si>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</si>
  <si>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</si>
  <si>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</si>
  <si>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</si>
  <si>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</si>
  <si>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</si>
  <si>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</si>
  <si>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</si>
  <si>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</si>
  <si>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</si>
  <si>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</si>
  <si>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</si>
  <si>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</si>
  <si>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</si>
  <si>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</si>
  <si>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</si>
  <si>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</si>
  <si>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</si>
  <si>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</si>
  <si>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</si>
  <si>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</si>
  <si>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</si>
  <si>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</si>
  <si>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</si>
  <si>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</si>
  <si>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</si>
  <si>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</si>
  <si>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</si>
  <si>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</si>
  <si>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</si>
  <si>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</si>
  <si>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</si>
  <si>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</si>
  <si>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</si>
  <si>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</si>
  <si>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</si>
  <si>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</si>
  <si>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</si>
  <si>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</si>
  <si>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</si>
  <si>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</si>
  <si>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</si>
  <si>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</si>
  <si>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</si>
  <si>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</si>
  <si>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</si>
  <si>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</si>
  <si>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</si>
  <si>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</si>
  <si>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</si>
  <si>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</si>
  <si>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</si>
  <si>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</si>
  <si>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</si>
  <si>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</si>
  <si>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</si>
  <si>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</si>
  <si>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</si>
  <si>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</si>
  <si>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</si>
  <si>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</si>
  <si>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</si>
  <si>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</si>
  <si>
    <t>PRESTACIÓNDESERVICIOSPROFESIONALESPARALAACTUALIZACIÓNDELOSDOCUMENTOSDELSISTEMADEGESTIONDELACALIDADDELICF</t>
  </si>
  <si>
    <t>PRESTAR CON PLENA AUTONOMÍA ADMINISTRATIVA LOS SERVICIOS
TECNOLÓGICOS DEL ÁREA APOYANDO EL ANÁLISIS, DEPURACIÓN Y COMPROBACIÓN DE LA CARTERA DE LOS USUARIOS DEL INSTITUTO
DE CASAS FISCALES DEL EJERCITO</t>
  </si>
  <si>
    <t>PRESTAR LOS SERVICIOS DE APOYO A LA GESTIÓN DE UN TÉCNICO, PARA REALIZAR LAS ACTIVIDADES DE GESTIÓN DOCUMENTAL Y SEGUIMIENTO A PLANES INSTITUCIONALES, CORRESPONDIENTES AL MODELO INTEGRADO DE PLANEACIÓN Y GESTIÓN MIPG, Y SEGUIMIENTO AL PLAN ANUAL DE ADQUISICIONES EN EL ÁREA DE PLANEACIÓN DEL INSTITUTO DE CASAS FISCALES DEL EJERCITO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</si>
</sst>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32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  <xf numFmtId="0" fontId="16" fillId="13" borderId="5" xfId="0" applyFont="1" applyFill="1" applyBorder="1" applyAlignment="1">
      <alignment horizontal="center" vertical="center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53"/>
  <sheetViews>
    <sheetView showGridLines="0" tabSelected="1" topLeftCell="N1" zoomScale="90" zoomScaleNormal="90" workbookViewId="0">
      <pane ySplit="6" topLeftCell="A260" activePane="bottomLeft" state="frozen"/>
      <selection activeCell="M1" sqref="M1"/>
      <selection pane="bottomLeft" activeCell="T263" sqref="T263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5935400000</v>
      </c>
      <c r="S7" s="39">
        <v>5969000000</v>
      </c>
      <c r="T7" s="40">
        <f>+R7-S7</f>
        <v>-33600000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5855700000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557200000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186600000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151000000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151000000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18000000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f>22000000-18000000</f>
        <v>4000000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113052</v>
      </c>
      <c r="R82" s="94">
        <f>130000000-2000000-29000000+30000000</f>
        <v>129000000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+R90+R101+R107+R179+R194</f>
        <v>5298500000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+R108+R113+R154+R162+R166</f>
        <v>1244800000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991518000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+R115+R145+R147</f>
        <v>991518000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907109000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f>92000000-24000000-9600000-30000000</f>
        <v>28400000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ht="90" x14ac:dyDescent="0.2">
      <c r="A143" s="322"/>
      <c r="B143" s="135"/>
      <c r="C143" s="136"/>
      <c r="D143" s="136"/>
      <c r="E143" s="136"/>
      <c r="F143" s="136"/>
      <c r="G143" s="136"/>
      <c r="H143" s="136"/>
      <c r="I143" s="136"/>
      <c r="J143" s="137"/>
      <c r="K143" s="137"/>
      <c r="L143" s="331">
        <v>80101500</v>
      </c>
      <c r="M143" s="129" t="s">
        <v>113314</v>
      </c>
      <c r="N143" s="92">
        <v>45422</v>
      </c>
      <c r="O143" s="92" t="s">
        <v>113086</v>
      </c>
      <c r="P143" s="93" t="s">
        <v>113039</v>
      </c>
      <c r="Q143" s="93" t="s">
        <v>113052</v>
      </c>
      <c r="R143" s="308">
        <v>24000000</v>
      </c>
      <c r="S143" s="95"/>
      <c r="T143" s="96"/>
      <c r="U143" s="91" t="s">
        <v>113081</v>
      </c>
    </row>
    <row r="144" spans="1:21" ht="60" x14ac:dyDescent="0.2">
      <c r="A144" s="322"/>
      <c r="B144" s="135"/>
      <c r="C144" s="136"/>
      <c r="D144" s="136"/>
      <c r="E144" s="136"/>
      <c r="F144" s="136"/>
      <c r="G144" s="136"/>
      <c r="H144" s="136"/>
      <c r="I144" s="136"/>
      <c r="J144" s="137"/>
      <c r="K144" s="137"/>
      <c r="L144" s="331">
        <v>80101500</v>
      </c>
      <c r="M144" s="129" t="s">
        <v>113313</v>
      </c>
      <c r="N144" s="92"/>
      <c r="O144" s="92" t="s">
        <v>113086</v>
      </c>
      <c r="P144" s="93" t="s">
        <v>112997</v>
      </c>
      <c r="Q144" s="93" t="s">
        <v>113052</v>
      </c>
      <c r="R144" s="308">
        <v>9600000</v>
      </c>
      <c r="S144" s="95"/>
      <c r="T144" s="96"/>
      <c r="U144" s="91" t="s">
        <v>113096</v>
      </c>
    </row>
    <row r="145" spans="1:21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105579</v>
      </c>
      <c r="J145" s="79"/>
      <c r="K145" s="79"/>
      <c r="L145" s="79"/>
      <c r="M145" s="81" t="s">
        <v>107004</v>
      </c>
      <c r="N145" s="82"/>
      <c r="O145" s="82"/>
      <c r="P145" s="83"/>
      <c r="Q145" s="110"/>
      <c r="R145" s="84">
        <f>SUM(R146)</f>
        <v>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54">
        <v>80101500</v>
      </c>
      <c r="M146" s="101" t="s">
        <v>113082</v>
      </c>
      <c r="N146" s="92">
        <v>45565</v>
      </c>
      <c r="O146" s="92" t="s">
        <v>113069</v>
      </c>
      <c r="P146" s="93" t="s">
        <v>112997</v>
      </c>
      <c r="Q146" s="93" t="s">
        <v>113070</v>
      </c>
      <c r="R146" s="308">
        <v>0</v>
      </c>
      <c r="S146" s="95"/>
      <c r="T146" s="96"/>
      <c r="U146" s="97" t="s">
        <v>113011</v>
      </c>
    </row>
    <row r="147" spans="1:21" ht="30" x14ac:dyDescent="0.2">
      <c r="A147" s="322"/>
      <c r="B147" s="79" t="s">
        <v>105516</v>
      </c>
      <c r="C147" s="79" t="s">
        <v>105573</v>
      </c>
      <c r="D147" s="79" t="s">
        <v>105573</v>
      </c>
      <c r="E147" s="79" t="s">
        <v>105573</v>
      </c>
      <c r="F147" s="79" t="s">
        <v>105553</v>
      </c>
      <c r="G147" s="79" t="s">
        <v>105538</v>
      </c>
      <c r="H147" s="79" t="s">
        <v>105520</v>
      </c>
      <c r="I147" s="79" t="s">
        <v>106211</v>
      </c>
      <c r="J147" s="79"/>
      <c r="K147" s="79"/>
      <c r="L147" s="79"/>
      <c r="M147" s="81" t="s">
        <v>107006</v>
      </c>
      <c r="N147" s="82"/>
      <c r="O147" s="82"/>
      <c r="P147" s="83"/>
      <c r="Q147" s="83"/>
      <c r="R147" s="84">
        <f>SUM(R148:R153)</f>
        <v>84409000</v>
      </c>
      <c r="S147" s="85"/>
      <c r="T147" s="85"/>
      <c r="U147" s="100"/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80101500</v>
      </c>
      <c r="M148" s="91" t="s">
        <v>113193</v>
      </c>
      <c r="N148" s="92">
        <v>45300</v>
      </c>
      <c r="O148" s="92" t="s">
        <v>113036</v>
      </c>
      <c r="P148" s="93" t="s">
        <v>113182</v>
      </c>
      <c r="Q148" s="93" t="s">
        <v>113052</v>
      </c>
      <c r="R148" s="94">
        <f>8200000-600000</f>
        <v>7600000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 t="s">
        <v>113010</v>
      </c>
      <c r="Q149" s="93" t="s">
        <v>113052</v>
      </c>
      <c r="R149" s="94">
        <v>28600000</v>
      </c>
      <c r="S149" s="124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113003</v>
      </c>
      <c r="Q150" s="93" t="s">
        <v>113052</v>
      </c>
      <c r="R150" s="94">
        <v>24409000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91" t="s">
        <v>113193</v>
      </c>
      <c r="N151" s="92">
        <v>45300</v>
      </c>
      <c r="O151" s="92" t="s">
        <v>113059</v>
      </c>
      <c r="P151" s="93"/>
      <c r="Q151" s="93" t="s">
        <v>113052</v>
      </c>
      <c r="R151" s="94">
        <v>0</v>
      </c>
      <c r="S151" s="95"/>
      <c r="T151" s="96"/>
      <c r="U151" s="97" t="s">
        <v>113053</v>
      </c>
    </row>
    <row r="152" spans="1:21" ht="30" x14ac:dyDescent="0.2">
      <c r="A152" s="322"/>
      <c r="B152" s="87"/>
      <c r="C152" s="88"/>
      <c r="D152" s="88"/>
      <c r="E152" s="88"/>
      <c r="F152" s="88"/>
      <c r="G152" s="88"/>
      <c r="H152" s="88"/>
      <c r="I152" s="88"/>
      <c r="J152" s="89"/>
      <c r="K152" s="89" t="s">
        <v>106997</v>
      </c>
      <c r="L152" s="90">
        <v>80111600</v>
      </c>
      <c r="M152" s="91" t="s">
        <v>113193</v>
      </c>
      <c r="N152" s="92">
        <v>45300</v>
      </c>
      <c r="O152" s="92" t="s">
        <v>113059</v>
      </c>
      <c r="P152" s="93" t="s">
        <v>113189</v>
      </c>
      <c r="Q152" s="93" t="s">
        <v>113052</v>
      </c>
      <c r="R152" s="94">
        <v>11900000</v>
      </c>
      <c r="S152" s="95"/>
      <c r="T152" s="96"/>
      <c r="U152" s="97" t="s">
        <v>113053</v>
      </c>
    </row>
    <row r="153" spans="1:21" ht="30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106997</v>
      </c>
      <c r="L153" s="90">
        <v>80111600</v>
      </c>
      <c r="M153" s="101" t="s">
        <v>113193</v>
      </c>
      <c r="N153" s="92">
        <v>45300</v>
      </c>
      <c r="O153" s="92" t="s">
        <v>113059</v>
      </c>
      <c r="P153" s="93" t="s">
        <v>113189</v>
      </c>
      <c r="Q153" s="93" t="s">
        <v>113052</v>
      </c>
      <c r="R153" s="94">
        <v>11900000</v>
      </c>
      <c r="S153" s="95"/>
      <c r="T153" s="96"/>
      <c r="U153" s="97" t="s">
        <v>113053</v>
      </c>
    </row>
    <row r="154" spans="1:21" ht="30" x14ac:dyDescent="0.2">
      <c r="A154" s="322"/>
      <c r="B154" s="71" t="s">
        <v>105516</v>
      </c>
      <c r="C154" s="71" t="s">
        <v>105573</v>
      </c>
      <c r="D154" s="71" t="s">
        <v>105573</v>
      </c>
      <c r="E154" s="71" t="s">
        <v>105573</v>
      </c>
      <c r="F154" s="71" t="s">
        <v>105553</v>
      </c>
      <c r="G154" s="71" t="s">
        <v>105541</v>
      </c>
      <c r="H154" s="71"/>
      <c r="I154" s="71"/>
      <c r="J154" s="71"/>
      <c r="K154" s="72"/>
      <c r="L154" s="72"/>
      <c r="M154" s="73" t="s">
        <v>107040</v>
      </c>
      <c r="N154" s="74"/>
      <c r="O154" s="74"/>
      <c r="P154" s="75"/>
      <c r="Q154" s="75"/>
      <c r="R154" s="76">
        <f>+R155+R159</f>
        <v>42320000</v>
      </c>
      <c r="S154" s="77"/>
      <c r="T154" s="77"/>
      <c r="U154" s="78"/>
    </row>
    <row r="155" spans="1:21" x14ac:dyDescent="0.2">
      <c r="A155" s="322"/>
      <c r="B155" s="79" t="s">
        <v>105516</v>
      </c>
      <c r="C155" s="79" t="s">
        <v>105573</v>
      </c>
      <c r="D155" s="79" t="s">
        <v>105573</v>
      </c>
      <c r="E155" s="79" t="s">
        <v>105573</v>
      </c>
      <c r="F155" s="79" t="s">
        <v>105553</v>
      </c>
      <c r="G155" s="79" t="s">
        <v>105541</v>
      </c>
      <c r="H155" s="79" t="s">
        <v>105520</v>
      </c>
      <c r="I155" s="79"/>
      <c r="J155" s="79"/>
      <c r="K155" s="79"/>
      <c r="L155" s="79"/>
      <c r="M155" s="81" t="s">
        <v>107042</v>
      </c>
      <c r="N155" s="82"/>
      <c r="O155" s="82"/>
      <c r="P155" s="83"/>
      <c r="Q155" s="83"/>
      <c r="R155" s="84">
        <f>SUM(R156+R157+R158)</f>
        <v>33800000</v>
      </c>
      <c r="S155" s="85"/>
      <c r="T155" s="85"/>
      <c r="U155" s="100"/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91" t="s">
        <v>113097</v>
      </c>
      <c r="N156" s="92">
        <v>45293</v>
      </c>
      <c r="O156" s="92" t="s">
        <v>113059</v>
      </c>
      <c r="P156" s="130" t="s">
        <v>113067</v>
      </c>
      <c r="Q156" s="93" t="s">
        <v>113030</v>
      </c>
      <c r="R156" s="94">
        <v>15000000</v>
      </c>
      <c r="S156" s="95"/>
      <c r="T156" s="127"/>
      <c r="U156" s="97" t="s">
        <v>113063</v>
      </c>
    </row>
    <row r="157" spans="1:21" x14ac:dyDescent="0.2">
      <c r="A157" s="322"/>
      <c r="B157" s="87"/>
      <c r="C157" s="88"/>
      <c r="D157" s="88"/>
      <c r="E157" s="88"/>
      <c r="F157" s="88"/>
      <c r="G157" s="88"/>
      <c r="H157" s="88"/>
      <c r="I157" s="88"/>
      <c r="J157" s="89"/>
      <c r="K157" s="89" t="s">
        <v>107039</v>
      </c>
      <c r="L157" s="54"/>
      <c r="M157" s="101" t="s">
        <v>113098</v>
      </c>
      <c r="N157" s="92">
        <v>45293</v>
      </c>
      <c r="O157" s="92" t="s">
        <v>113059</v>
      </c>
      <c r="P157" s="130" t="s">
        <v>113067</v>
      </c>
      <c r="Q157" s="93" t="s">
        <v>113030</v>
      </c>
      <c r="R157" s="94">
        <v>16800000</v>
      </c>
      <c r="S157" s="95"/>
      <c r="T157" s="96"/>
      <c r="U157" s="97" t="s">
        <v>113063</v>
      </c>
    </row>
    <row r="158" spans="1:21" x14ac:dyDescent="0.2">
      <c r="A158" s="322"/>
      <c r="B158" s="87"/>
      <c r="C158" s="88"/>
      <c r="D158" s="88"/>
      <c r="E158" s="88"/>
      <c r="F158" s="88"/>
      <c r="G158" s="88"/>
      <c r="H158" s="88"/>
      <c r="I158" s="88"/>
      <c r="J158" s="89"/>
      <c r="K158" s="89" t="s">
        <v>107039</v>
      </c>
      <c r="L158" s="54"/>
      <c r="M158" s="101" t="s">
        <v>113099</v>
      </c>
      <c r="N158" s="92" t="s">
        <v>113030</v>
      </c>
      <c r="O158" s="92" t="s">
        <v>113030</v>
      </c>
      <c r="P158" s="93" t="s">
        <v>113030</v>
      </c>
      <c r="Q158" s="93" t="s">
        <v>113030</v>
      </c>
      <c r="R158" s="94">
        <v>2000000</v>
      </c>
      <c r="S158" s="95"/>
      <c r="T158" s="127"/>
      <c r="U158" s="97" t="s">
        <v>113031</v>
      </c>
    </row>
    <row r="159" spans="1:21" x14ac:dyDescent="0.2">
      <c r="A159" s="322"/>
      <c r="B159" s="79" t="s">
        <v>105516</v>
      </c>
      <c r="C159" s="79" t="s">
        <v>105573</v>
      </c>
      <c r="D159" s="79" t="s">
        <v>105573</v>
      </c>
      <c r="E159" s="79" t="s">
        <v>105573</v>
      </c>
      <c r="F159" s="79" t="s">
        <v>105553</v>
      </c>
      <c r="G159" s="79" t="s">
        <v>105541</v>
      </c>
      <c r="H159" s="79" t="s">
        <v>105573</v>
      </c>
      <c r="I159" s="79"/>
      <c r="J159" s="79"/>
      <c r="K159" s="79"/>
      <c r="L159" s="79"/>
      <c r="M159" s="81" t="s">
        <v>107044</v>
      </c>
      <c r="N159" s="82"/>
      <c r="O159" s="82"/>
      <c r="P159" s="83"/>
      <c r="Q159" s="83"/>
      <c r="R159" s="84">
        <f>SUM(R160+R161)</f>
        <v>8520000</v>
      </c>
      <c r="S159" s="85"/>
      <c r="T159" s="85"/>
      <c r="U159" s="100"/>
    </row>
    <row r="160" spans="1:21" ht="45.75" customHeight="1" x14ac:dyDescent="0.2">
      <c r="A160" s="322"/>
      <c r="B160" s="328"/>
      <c r="C160" s="89"/>
      <c r="D160" s="89"/>
      <c r="E160" s="89"/>
      <c r="F160" s="89"/>
      <c r="G160" s="89"/>
      <c r="H160" s="89"/>
      <c r="I160" s="89"/>
      <c r="J160" s="89"/>
      <c r="K160" s="89" t="s">
        <v>107039</v>
      </c>
      <c r="L160" s="54">
        <v>81112100</v>
      </c>
      <c r="M160" s="91" t="s">
        <v>113262</v>
      </c>
      <c r="N160" s="92">
        <v>45414</v>
      </c>
      <c r="O160" s="92" t="s">
        <v>113184</v>
      </c>
      <c r="P160" s="93" t="s">
        <v>113001</v>
      </c>
      <c r="Q160" s="93" t="s">
        <v>113040</v>
      </c>
      <c r="R160" s="94">
        <f>4200000+600000</f>
        <v>4800000</v>
      </c>
      <c r="S160" s="95" t="s">
        <v>105533</v>
      </c>
      <c r="T160" s="309">
        <v>5088000</v>
      </c>
      <c r="U160" s="97" t="s">
        <v>113002</v>
      </c>
    </row>
    <row r="161" spans="1:21" ht="45" customHeight="1" x14ac:dyDescent="0.2">
      <c r="A161" s="322"/>
      <c r="B161" s="328"/>
      <c r="C161" s="89"/>
      <c r="D161" s="89"/>
      <c r="E161" s="89"/>
      <c r="F161" s="89"/>
      <c r="G161" s="89"/>
      <c r="H161" s="89"/>
      <c r="I161" s="89"/>
      <c r="J161" s="89"/>
      <c r="K161" s="89" t="s">
        <v>107039</v>
      </c>
      <c r="L161" s="54">
        <v>81112100</v>
      </c>
      <c r="M161" s="101" t="s">
        <v>113100</v>
      </c>
      <c r="N161" s="92">
        <v>45422</v>
      </c>
      <c r="O161" s="92" t="s">
        <v>112996</v>
      </c>
      <c r="P161" s="130" t="s">
        <v>113067</v>
      </c>
      <c r="Q161" s="93" t="s">
        <v>113040</v>
      </c>
      <c r="R161" s="94">
        <v>3720000</v>
      </c>
      <c r="S161" s="95"/>
      <c r="T161" s="94"/>
      <c r="U161" s="97" t="s">
        <v>113002</v>
      </c>
    </row>
    <row r="162" spans="1:21" x14ac:dyDescent="0.2">
      <c r="A162" s="322"/>
      <c r="B162" s="71" t="s">
        <v>105516</v>
      </c>
      <c r="C162" s="71" t="s">
        <v>105573</v>
      </c>
      <c r="D162" s="71" t="s">
        <v>105573</v>
      </c>
      <c r="E162" s="71" t="s">
        <v>105573</v>
      </c>
      <c r="F162" s="71" t="s">
        <v>105553</v>
      </c>
      <c r="G162" s="139" t="s">
        <v>105544</v>
      </c>
      <c r="H162" s="71"/>
      <c r="I162" s="71"/>
      <c r="J162" s="71"/>
      <c r="K162" s="72"/>
      <c r="L162" s="72"/>
      <c r="M162" s="73" t="s">
        <v>107054</v>
      </c>
      <c r="N162" s="74"/>
      <c r="O162" s="74"/>
      <c r="P162" s="75"/>
      <c r="Q162" s="75"/>
      <c r="R162" s="76">
        <f>+R163</f>
        <v>0</v>
      </c>
      <c r="S162" s="77"/>
      <c r="T162" s="77"/>
      <c r="U162" s="78"/>
    </row>
    <row r="163" spans="1:21" x14ac:dyDescent="0.2">
      <c r="A163" s="322"/>
      <c r="B163" s="79" t="s">
        <v>105516</v>
      </c>
      <c r="C163" s="79" t="s">
        <v>105573</v>
      </c>
      <c r="D163" s="79" t="s">
        <v>105573</v>
      </c>
      <c r="E163" s="79" t="s">
        <v>105573</v>
      </c>
      <c r="F163" s="79" t="s">
        <v>105553</v>
      </c>
      <c r="G163" s="80" t="s">
        <v>105544</v>
      </c>
      <c r="H163" s="80" t="s">
        <v>106109</v>
      </c>
      <c r="I163" s="79"/>
      <c r="J163" s="79"/>
      <c r="K163" s="79"/>
      <c r="L163" s="79"/>
      <c r="M163" s="81" t="s">
        <v>107066</v>
      </c>
      <c r="N163" s="82"/>
      <c r="O163" s="82"/>
      <c r="P163" s="83"/>
      <c r="Q163" s="83"/>
      <c r="R163" s="84">
        <f>+R164</f>
        <v>0</v>
      </c>
      <c r="S163" s="85"/>
      <c r="T163" s="85"/>
      <c r="U163" s="100"/>
    </row>
    <row r="164" spans="1:21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80" t="s">
        <v>105544</v>
      </c>
      <c r="H164" s="80" t="s">
        <v>106109</v>
      </c>
      <c r="I164" s="79">
        <v>3</v>
      </c>
      <c r="J164" s="79"/>
      <c r="K164" s="79"/>
      <c r="L164" s="79"/>
      <c r="M164" s="81" t="s">
        <v>113101</v>
      </c>
      <c r="N164" s="82"/>
      <c r="O164" s="82"/>
      <c r="P164" s="83"/>
      <c r="Q164" s="83"/>
      <c r="R164" s="84">
        <f>+R165</f>
        <v>0</v>
      </c>
      <c r="S164" s="85"/>
      <c r="T164" s="85"/>
      <c r="U164" s="100"/>
    </row>
    <row r="165" spans="1:21" ht="30" x14ac:dyDescent="0.2">
      <c r="A165" s="322"/>
      <c r="B165" s="87"/>
      <c r="C165" s="88"/>
      <c r="D165" s="88"/>
      <c r="E165" s="88"/>
      <c r="F165" s="88"/>
      <c r="G165" s="88"/>
      <c r="H165" s="88"/>
      <c r="I165" s="88"/>
      <c r="J165" s="89"/>
      <c r="K165" s="89" t="s">
        <v>107053</v>
      </c>
      <c r="L165" s="90" t="s">
        <v>113102</v>
      </c>
      <c r="M165" s="101" t="s">
        <v>113285</v>
      </c>
      <c r="N165" s="92">
        <v>45488</v>
      </c>
      <c r="O165" s="92" t="s">
        <v>113009</v>
      </c>
      <c r="P165" s="93" t="s">
        <v>113182</v>
      </c>
      <c r="Q165" s="93" t="s">
        <v>113103</v>
      </c>
      <c r="R165" s="308">
        <v>0</v>
      </c>
      <c r="S165" s="95"/>
      <c r="T165" s="127"/>
      <c r="U165" s="97" t="s">
        <v>113028</v>
      </c>
    </row>
    <row r="166" spans="1:21" ht="30" x14ac:dyDescent="0.2">
      <c r="A166" s="322"/>
      <c r="B166" s="71" t="s">
        <v>105516</v>
      </c>
      <c r="C166" s="71" t="s">
        <v>105573</v>
      </c>
      <c r="D166" s="71" t="s">
        <v>105573</v>
      </c>
      <c r="E166" s="71" t="s">
        <v>105573</v>
      </c>
      <c r="F166" s="71" t="s">
        <v>105553</v>
      </c>
      <c r="G166" s="71" t="s">
        <v>105550</v>
      </c>
      <c r="H166" s="71"/>
      <c r="I166" s="71"/>
      <c r="J166" s="71"/>
      <c r="K166" s="72"/>
      <c r="L166" s="72"/>
      <c r="M166" s="73" t="s">
        <v>107092</v>
      </c>
      <c r="N166" s="74"/>
      <c r="O166" s="74"/>
      <c r="P166" s="75"/>
      <c r="Q166" s="75"/>
      <c r="R166" s="76">
        <f>+R167</f>
        <v>116912000</v>
      </c>
      <c r="S166" s="77"/>
      <c r="T166" s="77"/>
      <c r="U166" s="78"/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/>
      <c r="J167" s="79"/>
      <c r="K167" s="79"/>
      <c r="L167" s="79"/>
      <c r="M167" s="81" t="s">
        <v>107094</v>
      </c>
      <c r="N167" s="82"/>
      <c r="O167" s="82"/>
      <c r="P167" s="83"/>
      <c r="Q167" s="83"/>
      <c r="R167" s="84">
        <f>+R168+R170+R174</f>
        <v>116912000</v>
      </c>
      <c r="S167" s="85"/>
      <c r="T167" s="85"/>
      <c r="U167" s="100"/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106211</v>
      </c>
      <c r="J168" s="79"/>
      <c r="K168" s="79"/>
      <c r="L168" s="79"/>
      <c r="M168" s="81" t="s">
        <v>107100</v>
      </c>
      <c r="N168" s="82"/>
      <c r="O168" s="82"/>
      <c r="P168" s="83"/>
      <c r="Q168" s="83"/>
      <c r="R168" s="84">
        <f>+R169</f>
        <v>0</v>
      </c>
      <c r="S168" s="85"/>
      <c r="T168" s="85"/>
      <c r="U168" s="100"/>
    </row>
    <row r="169" spans="1:21" ht="60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113104</v>
      </c>
      <c r="M169" s="91" t="s">
        <v>113105</v>
      </c>
      <c r="N169" s="92">
        <v>45374</v>
      </c>
      <c r="O169" s="92" t="s">
        <v>113086</v>
      </c>
      <c r="P169" s="93" t="s">
        <v>113001</v>
      </c>
      <c r="Q169" s="93" t="s">
        <v>113095</v>
      </c>
      <c r="R169" s="308">
        <v>0</v>
      </c>
      <c r="S169" s="95"/>
      <c r="T169" s="96"/>
      <c r="U169" s="97" t="s">
        <v>113002</v>
      </c>
    </row>
    <row r="170" spans="1:21" ht="30" x14ac:dyDescent="0.2">
      <c r="A170" s="322"/>
      <c r="B170" s="79" t="s">
        <v>105516</v>
      </c>
      <c r="C170" s="79" t="s">
        <v>105573</v>
      </c>
      <c r="D170" s="79" t="s">
        <v>105573</v>
      </c>
      <c r="E170" s="79" t="s">
        <v>105573</v>
      </c>
      <c r="F170" s="79" t="s">
        <v>105553</v>
      </c>
      <c r="G170" s="79" t="s">
        <v>105550</v>
      </c>
      <c r="H170" s="79" t="s">
        <v>105520</v>
      </c>
      <c r="I170" s="79" t="s">
        <v>106214</v>
      </c>
      <c r="J170" s="79"/>
      <c r="K170" s="79"/>
      <c r="L170" s="79"/>
      <c r="M170" s="81" t="s">
        <v>107102</v>
      </c>
      <c r="N170" s="82"/>
      <c r="O170" s="82"/>
      <c r="P170" s="83"/>
      <c r="Q170" s="83"/>
      <c r="R170" s="84">
        <f>SUM(R171:R173)</f>
        <v>83000000</v>
      </c>
      <c r="S170" s="85"/>
      <c r="T170" s="85"/>
      <c r="U170" s="100"/>
    </row>
    <row r="171" spans="1:21" ht="85.5" customHeight="1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 t="s">
        <v>107091</v>
      </c>
      <c r="L171" s="90" t="s">
        <v>113199</v>
      </c>
      <c r="M171" s="91" t="s">
        <v>113106</v>
      </c>
      <c r="N171" s="92">
        <v>45313</v>
      </c>
      <c r="O171" s="92" t="s">
        <v>113036</v>
      </c>
      <c r="P171" s="93" t="s">
        <v>113010</v>
      </c>
      <c r="Q171" s="93" t="s">
        <v>113095</v>
      </c>
      <c r="R171" s="94">
        <v>50000000</v>
      </c>
      <c r="S171" s="95"/>
      <c r="T171" s="96"/>
      <c r="U171" s="97" t="s">
        <v>113034</v>
      </c>
    </row>
    <row r="172" spans="1:21" ht="4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/>
      <c r="L172" s="90" t="s">
        <v>113128</v>
      </c>
      <c r="M172" s="91" t="s">
        <v>113233</v>
      </c>
      <c r="N172" s="92"/>
      <c r="O172" s="92"/>
      <c r="P172" s="93"/>
      <c r="Q172" s="93"/>
      <c r="R172" s="94">
        <v>16500000</v>
      </c>
      <c r="S172" s="95"/>
      <c r="T172" s="96"/>
      <c r="U172" s="97" t="s">
        <v>112999</v>
      </c>
    </row>
    <row r="173" spans="1:21" ht="60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/>
      <c r="L173" s="90" t="s">
        <v>113128</v>
      </c>
      <c r="M173" s="91" t="s">
        <v>113234</v>
      </c>
      <c r="N173" s="92">
        <v>45397</v>
      </c>
      <c r="O173" s="92" t="s">
        <v>113086</v>
      </c>
      <c r="P173" s="93" t="s">
        <v>113183</v>
      </c>
      <c r="Q173" s="93" t="s">
        <v>113068</v>
      </c>
      <c r="R173" s="94">
        <v>16500000</v>
      </c>
      <c r="S173" s="95" t="s">
        <v>105533</v>
      </c>
      <c r="T173" s="309">
        <v>17520000</v>
      </c>
      <c r="U173" s="97" t="s">
        <v>112999</v>
      </c>
    </row>
    <row r="174" spans="1:21" ht="30" x14ac:dyDescent="0.2">
      <c r="A174" s="322"/>
      <c r="B174" s="79" t="s">
        <v>105516</v>
      </c>
      <c r="C174" s="79" t="s">
        <v>105573</v>
      </c>
      <c r="D174" s="79" t="s">
        <v>105573</v>
      </c>
      <c r="E174" s="79" t="s">
        <v>105573</v>
      </c>
      <c r="F174" s="79" t="s">
        <v>105553</v>
      </c>
      <c r="G174" s="79" t="s">
        <v>105550</v>
      </c>
      <c r="H174" s="79" t="s">
        <v>105520</v>
      </c>
      <c r="I174" s="79" t="s">
        <v>106217</v>
      </c>
      <c r="J174" s="79"/>
      <c r="K174" s="79"/>
      <c r="L174" s="79"/>
      <c r="M174" s="81" t="s">
        <v>107104</v>
      </c>
      <c r="N174" s="82"/>
      <c r="O174" s="82"/>
      <c r="P174" s="83"/>
      <c r="Q174" s="83"/>
      <c r="R174" s="84">
        <f>SUM(R175:R178)</f>
        <v>33912000</v>
      </c>
      <c r="S174" s="85"/>
      <c r="T174" s="85"/>
      <c r="U174" s="100"/>
    </row>
    <row r="175" spans="1:21" ht="75" x14ac:dyDescent="0.2">
      <c r="A175" s="322"/>
      <c r="B175" s="87"/>
      <c r="C175" s="88"/>
      <c r="D175" s="88"/>
      <c r="E175" s="88"/>
      <c r="F175" s="88"/>
      <c r="G175" s="88"/>
      <c r="H175" s="88"/>
      <c r="I175" s="88"/>
      <c r="J175" s="89"/>
      <c r="K175" s="89" t="s">
        <v>107091</v>
      </c>
      <c r="L175" s="90">
        <v>72154100</v>
      </c>
      <c r="M175" s="91" t="s">
        <v>113270</v>
      </c>
      <c r="N175" s="92"/>
      <c r="O175" s="92"/>
      <c r="P175" s="93"/>
      <c r="Q175" s="92"/>
      <c r="R175" s="94">
        <v>10956000</v>
      </c>
      <c r="S175" s="95"/>
      <c r="T175" s="96"/>
      <c r="U175" s="97" t="s">
        <v>112999</v>
      </c>
    </row>
    <row r="176" spans="1:21" ht="45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89" t="s">
        <v>107091</v>
      </c>
      <c r="L176" s="90" t="s">
        <v>113108</v>
      </c>
      <c r="M176" s="91" t="s">
        <v>113109</v>
      </c>
      <c r="N176" s="92">
        <v>45413</v>
      </c>
      <c r="O176" s="92" t="s">
        <v>113184</v>
      </c>
      <c r="P176" s="130" t="s">
        <v>113006</v>
      </c>
      <c r="Q176" s="92" t="s">
        <v>113051</v>
      </c>
      <c r="R176" s="94">
        <v>0</v>
      </c>
      <c r="S176" s="95"/>
      <c r="T176" s="140"/>
      <c r="U176" s="97" t="s">
        <v>112999</v>
      </c>
    </row>
    <row r="177" spans="1:21" ht="75" x14ac:dyDescent="0.2">
      <c r="A177" s="322"/>
      <c r="B177" s="135"/>
      <c r="C177" s="136"/>
      <c r="D177" s="136"/>
      <c r="E177" s="136"/>
      <c r="F177" s="136"/>
      <c r="G177" s="136"/>
      <c r="H177" s="136"/>
      <c r="I177" s="136"/>
      <c r="J177" s="137"/>
      <c r="K177" s="137" t="s">
        <v>107091</v>
      </c>
      <c r="L177" s="90">
        <v>72154100</v>
      </c>
      <c r="M177" s="91" t="s">
        <v>113107</v>
      </c>
      <c r="N177" s="92">
        <v>45397</v>
      </c>
      <c r="O177" s="92" t="s">
        <v>113086</v>
      </c>
      <c r="P177" s="93" t="s">
        <v>113183</v>
      </c>
      <c r="Q177" s="93" t="s">
        <v>113068</v>
      </c>
      <c r="R177" s="94">
        <v>10956000</v>
      </c>
      <c r="S177" s="95" t="s">
        <v>105533</v>
      </c>
      <c r="T177" s="309">
        <v>11640000</v>
      </c>
      <c r="U177" s="97" t="s">
        <v>112999</v>
      </c>
    </row>
    <row r="178" spans="1:21" ht="15" customHeight="1" x14ac:dyDescent="0.2">
      <c r="A178" s="322"/>
      <c r="B178" s="135"/>
      <c r="C178" s="136"/>
      <c r="D178" s="136"/>
      <c r="E178" s="136"/>
      <c r="F178" s="136"/>
      <c r="G178" s="136"/>
      <c r="H178" s="136"/>
      <c r="I178" s="136"/>
      <c r="J178" s="137"/>
      <c r="K178" s="137" t="s">
        <v>107091</v>
      </c>
      <c r="L178" s="125"/>
      <c r="M178" s="119" t="s">
        <v>113111</v>
      </c>
      <c r="N178" s="120" t="s">
        <v>113030</v>
      </c>
      <c r="O178" s="120" t="s">
        <v>113030</v>
      </c>
      <c r="P178" s="120" t="s">
        <v>113030</v>
      </c>
      <c r="Q178" s="120" t="s">
        <v>113030</v>
      </c>
      <c r="R178" s="94">
        <v>12000000</v>
      </c>
      <c r="S178" s="91"/>
      <c r="T178" s="98"/>
      <c r="U178" s="97" t="s">
        <v>113031</v>
      </c>
    </row>
    <row r="179" spans="1:21" x14ac:dyDescent="0.2">
      <c r="A179" s="322"/>
      <c r="B179" s="62" t="s">
        <v>105516</v>
      </c>
      <c r="C179" s="62" t="s">
        <v>105573</v>
      </c>
      <c r="D179" s="62" t="s">
        <v>105573</v>
      </c>
      <c r="E179" s="62" t="s">
        <v>105573</v>
      </c>
      <c r="F179" s="62" t="s">
        <v>105556</v>
      </c>
      <c r="G179" s="62"/>
      <c r="H179" s="62"/>
      <c r="I179" s="62"/>
      <c r="J179" s="62"/>
      <c r="K179" s="63"/>
      <c r="L179" s="64"/>
      <c r="M179" s="65" t="s">
        <v>107164</v>
      </c>
      <c r="N179" s="66"/>
      <c r="O179" s="66"/>
      <c r="P179" s="67"/>
      <c r="Q179" s="67"/>
      <c r="R179" s="68">
        <f>+R180+R184+R187+R191</f>
        <v>356000000</v>
      </c>
      <c r="S179" s="69"/>
      <c r="T179" s="69"/>
      <c r="U179" s="70"/>
    </row>
    <row r="180" spans="1:21" x14ac:dyDescent="0.2">
      <c r="A180" s="322"/>
      <c r="B180" s="71" t="s">
        <v>105516</v>
      </c>
      <c r="C180" s="71" t="s">
        <v>105573</v>
      </c>
      <c r="D180" s="71" t="s">
        <v>105573</v>
      </c>
      <c r="E180" s="71" t="s">
        <v>105573</v>
      </c>
      <c r="F180" s="71" t="s">
        <v>105556</v>
      </c>
      <c r="G180" s="71" t="s">
        <v>105535</v>
      </c>
      <c r="H180" s="71"/>
      <c r="I180" s="71"/>
      <c r="J180" s="71"/>
      <c r="K180" s="72"/>
      <c r="L180" s="72"/>
      <c r="M180" s="73" t="s">
        <v>107166</v>
      </c>
      <c r="N180" s="74"/>
      <c r="O180" s="74"/>
      <c r="P180" s="75"/>
      <c r="Q180" s="75"/>
      <c r="R180" s="76">
        <f>+R181</f>
        <v>70000000</v>
      </c>
      <c r="S180" s="77"/>
      <c r="T180" s="77"/>
      <c r="U180" s="78"/>
    </row>
    <row r="181" spans="1:21" x14ac:dyDescent="0.2">
      <c r="A181" s="322"/>
      <c r="B181" s="79" t="s">
        <v>105516</v>
      </c>
      <c r="C181" s="79" t="s">
        <v>105573</v>
      </c>
      <c r="D181" s="79" t="s">
        <v>105573</v>
      </c>
      <c r="E181" s="79" t="s">
        <v>105573</v>
      </c>
      <c r="F181" s="79" t="s">
        <v>105556</v>
      </c>
      <c r="G181" s="79" t="s">
        <v>105535</v>
      </c>
      <c r="H181" s="79" t="s">
        <v>106109</v>
      </c>
      <c r="I181" s="79"/>
      <c r="J181" s="79"/>
      <c r="K181" s="79"/>
      <c r="L181" s="79"/>
      <c r="M181" s="81" t="s">
        <v>107178</v>
      </c>
      <c r="N181" s="82"/>
      <c r="O181" s="82"/>
      <c r="P181" s="83"/>
      <c r="Q181" s="83"/>
      <c r="R181" s="84">
        <f>SUM(R182+R183)</f>
        <v>70000000</v>
      </c>
      <c r="S181" s="85"/>
      <c r="T181" s="85"/>
      <c r="U181" s="100"/>
    </row>
    <row r="182" spans="1:21" ht="30" x14ac:dyDescent="0.2">
      <c r="A182" s="322"/>
      <c r="B182" s="87"/>
      <c r="C182" s="88"/>
      <c r="D182" s="88"/>
      <c r="E182" s="88"/>
      <c r="F182" s="88"/>
      <c r="G182" s="88"/>
      <c r="H182" s="88"/>
      <c r="I182" s="88"/>
      <c r="J182" s="89"/>
      <c r="K182" s="89" t="s">
        <v>107165</v>
      </c>
      <c r="L182" s="90" t="s">
        <v>113112</v>
      </c>
      <c r="M182" s="91" t="s">
        <v>113311</v>
      </c>
      <c r="N182" s="92">
        <v>45347</v>
      </c>
      <c r="O182" s="92" t="s">
        <v>113000</v>
      </c>
      <c r="P182" s="93" t="s">
        <v>113003</v>
      </c>
      <c r="Q182" s="93" t="s">
        <v>113052</v>
      </c>
      <c r="R182" s="94">
        <v>50000000</v>
      </c>
      <c r="S182" s="95"/>
      <c r="T182" s="96"/>
      <c r="U182" s="97" t="s">
        <v>113011</v>
      </c>
    </row>
    <row r="183" spans="1:21" ht="30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107165</v>
      </c>
      <c r="L183" s="54"/>
      <c r="M183" s="91" t="s">
        <v>113113</v>
      </c>
      <c r="N183" s="92">
        <v>45321</v>
      </c>
      <c r="O183" s="93" t="s">
        <v>113030</v>
      </c>
      <c r="P183" s="93" t="s">
        <v>113030</v>
      </c>
      <c r="Q183" s="93" t="s">
        <v>113030</v>
      </c>
      <c r="R183" s="94">
        <v>20000000</v>
      </c>
      <c r="S183" s="95"/>
      <c r="T183" s="96"/>
      <c r="U183" s="97" t="s">
        <v>113011</v>
      </c>
    </row>
    <row r="184" spans="1:21" ht="30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105538</v>
      </c>
      <c r="H184" s="71"/>
      <c r="I184" s="71"/>
      <c r="J184" s="71"/>
      <c r="K184" s="72"/>
      <c r="L184" s="72"/>
      <c r="M184" s="73" t="s">
        <v>107180</v>
      </c>
      <c r="N184" s="74"/>
      <c r="O184" s="74"/>
      <c r="P184" s="75"/>
      <c r="Q184" s="75"/>
      <c r="R184" s="76">
        <f>+R185</f>
        <v>35000000</v>
      </c>
      <c r="S184" s="77"/>
      <c r="T184" s="77"/>
      <c r="U184" s="78"/>
    </row>
    <row r="185" spans="1:21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105538</v>
      </c>
      <c r="H185" s="79" t="s">
        <v>105520</v>
      </c>
      <c r="I185" s="79"/>
      <c r="J185" s="79"/>
      <c r="K185" s="79"/>
      <c r="L185" s="79"/>
      <c r="M185" s="81" t="s">
        <v>107182</v>
      </c>
      <c r="N185" s="82"/>
      <c r="O185" s="82"/>
      <c r="P185" s="83"/>
      <c r="Q185" s="83"/>
      <c r="R185" s="84">
        <f>+R186</f>
        <v>35000000</v>
      </c>
      <c r="S185" s="85"/>
      <c r="T185" s="85"/>
      <c r="U185" s="100"/>
    </row>
    <row r="186" spans="1:21" ht="44.25" customHeight="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107179</v>
      </c>
      <c r="L186" s="90" t="s">
        <v>113225</v>
      </c>
      <c r="M186" s="91" t="s">
        <v>113114</v>
      </c>
      <c r="N186" s="92">
        <v>45337</v>
      </c>
      <c r="O186" s="92" t="s">
        <v>113036</v>
      </c>
      <c r="P186" s="93" t="s">
        <v>113003</v>
      </c>
      <c r="Q186" s="130" t="s">
        <v>113110</v>
      </c>
      <c r="R186" s="94">
        <v>35000000</v>
      </c>
      <c r="S186" s="95"/>
      <c r="T186" s="96"/>
      <c r="U186" s="97" t="s">
        <v>113018</v>
      </c>
    </row>
    <row r="187" spans="1:21" ht="45" x14ac:dyDescent="0.2">
      <c r="A187" s="322"/>
      <c r="B187" s="71" t="s">
        <v>105516</v>
      </c>
      <c r="C187" s="71" t="s">
        <v>105573</v>
      </c>
      <c r="D187" s="71" t="s">
        <v>105573</v>
      </c>
      <c r="E187" s="71" t="s">
        <v>105573</v>
      </c>
      <c r="F187" s="71" t="s">
        <v>105556</v>
      </c>
      <c r="G187" s="71" t="s">
        <v>105541</v>
      </c>
      <c r="H187" s="71"/>
      <c r="I187" s="71"/>
      <c r="J187" s="71"/>
      <c r="K187" s="72"/>
      <c r="L187" s="72"/>
      <c r="M187" s="73" t="s">
        <v>107192</v>
      </c>
      <c r="N187" s="74"/>
      <c r="O187" s="74"/>
      <c r="P187" s="75"/>
      <c r="Q187" s="75"/>
      <c r="R187" s="76">
        <f>+R188</f>
        <v>251000000</v>
      </c>
      <c r="S187" s="77"/>
      <c r="T187" s="77"/>
      <c r="U187" s="78"/>
    </row>
    <row r="188" spans="1:21" ht="30" x14ac:dyDescent="0.2">
      <c r="A188" s="322"/>
      <c r="B188" s="79" t="s">
        <v>105516</v>
      </c>
      <c r="C188" s="79" t="s">
        <v>105573</v>
      </c>
      <c r="D188" s="79" t="s">
        <v>105573</v>
      </c>
      <c r="E188" s="79" t="s">
        <v>105573</v>
      </c>
      <c r="F188" s="79" t="s">
        <v>105556</v>
      </c>
      <c r="G188" s="79" t="s">
        <v>105541</v>
      </c>
      <c r="H188" s="79" t="s">
        <v>105520</v>
      </c>
      <c r="I188" s="79"/>
      <c r="J188" s="79"/>
      <c r="K188" s="79"/>
      <c r="L188" s="79"/>
      <c r="M188" s="81" t="s">
        <v>107194</v>
      </c>
      <c r="N188" s="109"/>
      <c r="O188" s="109"/>
      <c r="P188" s="83"/>
      <c r="Q188" s="83"/>
      <c r="R188" s="111">
        <f>SUM(R189+R190)</f>
        <v>251000000</v>
      </c>
      <c r="S188" s="112"/>
      <c r="T188" s="112"/>
      <c r="U188" s="100"/>
    </row>
    <row r="189" spans="1:21" x14ac:dyDescent="0.2">
      <c r="A189" s="322"/>
      <c r="B189" s="87"/>
      <c r="C189" s="88"/>
      <c r="D189" s="88"/>
      <c r="E189" s="88"/>
      <c r="F189" s="88"/>
      <c r="G189" s="88"/>
      <c r="H189" s="88"/>
      <c r="I189" s="88"/>
      <c r="J189" s="89"/>
      <c r="K189" s="89" t="s">
        <v>107191</v>
      </c>
      <c r="L189" s="90"/>
      <c r="M189" s="101" t="s">
        <v>113117</v>
      </c>
      <c r="N189" s="92">
        <v>45293</v>
      </c>
      <c r="O189" s="92" t="s">
        <v>113059</v>
      </c>
      <c r="P189" s="93" t="s">
        <v>113067</v>
      </c>
      <c r="Q189" s="93"/>
      <c r="R189" s="94">
        <v>231000000</v>
      </c>
      <c r="S189" s="95"/>
      <c r="T189" s="127"/>
      <c r="U189" s="91" t="s">
        <v>113063</v>
      </c>
    </row>
    <row r="190" spans="1:21" ht="45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107191</v>
      </c>
      <c r="L190" s="90" t="s">
        <v>113115</v>
      </c>
      <c r="M190" s="101" t="s">
        <v>113116</v>
      </c>
      <c r="N190" s="92">
        <v>45350</v>
      </c>
      <c r="O190" s="92" t="s">
        <v>113036</v>
      </c>
      <c r="P190" s="130" t="s">
        <v>113003</v>
      </c>
      <c r="Q190" s="93" t="s">
        <v>113051</v>
      </c>
      <c r="R190" s="94">
        <v>20000000</v>
      </c>
      <c r="S190" s="124"/>
      <c r="T190" s="127"/>
      <c r="U190" s="91" t="s">
        <v>112999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105556</v>
      </c>
      <c r="G191" s="71" t="s">
        <v>105547</v>
      </c>
      <c r="H191" s="71"/>
      <c r="I191" s="71"/>
      <c r="J191" s="71"/>
      <c r="K191" s="72"/>
      <c r="L191" s="72"/>
      <c r="M191" s="73" t="s">
        <v>107214</v>
      </c>
      <c r="N191" s="74"/>
      <c r="O191" s="74"/>
      <c r="P191" s="75"/>
      <c r="Q191" s="75"/>
      <c r="R191" s="76">
        <f>+R192</f>
        <v>0</v>
      </c>
      <c r="S191" s="77"/>
      <c r="T191" s="77"/>
      <c r="U191" s="78"/>
    </row>
    <row r="192" spans="1:21" x14ac:dyDescent="0.2">
      <c r="A192" s="322"/>
      <c r="B192" s="79" t="s">
        <v>105516</v>
      </c>
      <c r="C192" s="79" t="s">
        <v>105573</v>
      </c>
      <c r="D192" s="79" t="s">
        <v>105573</v>
      </c>
      <c r="E192" s="79" t="s">
        <v>105573</v>
      </c>
      <c r="F192" s="79" t="s">
        <v>105556</v>
      </c>
      <c r="G192" s="79" t="s">
        <v>105547</v>
      </c>
      <c r="H192" s="79" t="s">
        <v>106109</v>
      </c>
      <c r="I192" s="79"/>
      <c r="J192" s="79"/>
      <c r="K192" s="79"/>
      <c r="L192" s="79"/>
      <c r="M192" s="81" t="s">
        <v>107228</v>
      </c>
      <c r="N192" s="82"/>
      <c r="O192" s="82"/>
      <c r="P192" s="83"/>
      <c r="Q192" s="83"/>
      <c r="R192" s="84">
        <f>+R193</f>
        <v>0</v>
      </c>
      <c r="S192" s="85"/>
      <c r="T192" s="85"/>
      <c r="U192" s="100"/>
    </row>
    <row r="193" spans="1:21" ht="30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107213</v>
      </c>
      <c r="L193" s="54">
        <v>93141500</v>
      </c>
      <c r="M193" s="91" t="s">
        <v>113118</v>
      </c>
      <c r="N193" s="92">
        <v>45580</v>
      </c>
      <c r="O193" s="92" t="s">
        <v>113119</v>
      </c>
      <c r="P193" s="93" t="s">
        <v>113044</v>
      </c>
      <c r="Q193" s="93" t="s">
        <v>113094</v>
      </c>
      <c r="R193" s="308">
        <v>0</v>
      </c>
      <c r="S193" s="95"/>
      <c r="T193" s="96"/>
      <c r="U193" s="97" t="s">
        <v>113011</v>
      </c>
    </row>
    <row r="194" spans="1:21" x14ac:dyDescent="0.2">
      <c r="A194" s="322"/>
      <c r="B194" s="71" t="s">
        <v>105516</v>
      </c>
      <c r="C194" s="71" t="s">
        <v>105573</v>
      </c>
      <c r="D194" s="71" t="s">
        <v>105573</v>
      </c>
      <c r="E194" s="71" t="s">
        <v>105573</v>
      </c>
      <c r="F194" s="71" t="s">
        <v>105559</v>
      </c>
      <c r="G194" s="71"/>
      <c r="H194" s="71"/>
      <c r="I194" s="71"/>
      <c r="J194" s="71"/>
      <c r="K194" s="72"/>
      <c r="L194" s="72"/>
      <c r="M194" s="73" t="s">
        <v>105564</v>
      </c>
      <c r="N194" s="74"/>
      <c r="O194" s="74"/>
      <c r="P194" s="75"/>
      <c r="Q194" s="75"/>
      <c r="R194" s="76">
        <f>+R195</f>
        <v>50000000</v>
      </c>
      <c r="S194" s="77"/>
      <c r="T194" s="77"/>
      <c r="U194" s="78"/>
    </row>
    <row r="195" spans="1:21" x14ac:dyDescent="0.2">
      <c r="A195" s="322"/>
      <c r="B195" s="87"/>
      <c r="C195" s="88"/>
      <c r="D195" s="88"/>
      <c r="E195" s="88"/>
      <c r="F195" s="88"/>
      <c r="G195" s="88"/>
      <c r="H195" s="88"/>
      <c r="I195" s="88"/>
      <c r="J195" s="89"/>
      <c r="K195" s="89" t="s">
        <v>107241</v>
      </c>
      <c r="L195" s="54"/>
      <c r="M195" s="101" t="s">
        <v>105564</v>
      </c>
      <c r="N195" s="92" t="s">
        <v>113030</v>
      </c>
      <c r="O195" s="92" t="s">
        <v>113030</v>
      </c>
      <c r="P195" s="93" t="s">
        <v>113030</v>
      </c>
      <c r="Q195" s="93" t="s">
        <v>113030</v>
      </c>
      <c r="R195" s="94">
        <v>50000000</v>
      </c>
      <c r="S195" s="95"/>
      <c r="T195" s="96"/>
      <c r="U195" s="97" t="s">
        <v>113011</v>
      </c>
    </row>
    <row r="196" spans="1:21" ht="15.75" x14ac:dyDescent="0.2">
      <c r="A196" s="322"/>
      <c r="B196" s="141" t="s">
        <v>105516</v>
      </c>
      <c r="C196" s="141" t="s">
        <v>105924</v>
      </c>
      <c r="D196" s="141"/>
      <c r="E196" s="141"/>
      <c r="F196" s="141"/>
      <c r="G196" s="141"/>
      <c r="H196" s="141"/>
      <c r="I196" s="141"/>
      <c r="J196" s="141"/>
      <c r="K196" s="142"/>
      <c r="L196" s="142"/>
      <c r="M196" s="143" t="s">
        <v>112080</v>
      </c>
      <c r="N196" s="144"/>
      <c r="O196" s="144"/>
      <c r="P196" s="145"/>
      <c r="Q196" s="145"/>
      <c r="R196" s="146">
        <f>+R197</f>
        <v>11896000000</v>
      </c>
      <c r="S196" s="147">
        <v>11896000000</v>
      </c>
      <c r="T196" s="147">
        <f>+R196-S196</f>
        <v>0</v>
      </c>
      <c r="U196" s="148"/>
    </row>
    <row r="197" spans="1:21" ht="15.75" x14ac:dyDescent="0.2">
      <c r="A197" s="322"/>
      <c r="B197" s="149" t="s">
        <v>105516</v>
      </c>
      <c r="C197" s="149" t="s">
        <v>105924</v>
      </c>
      <c r="D197" s="149" t="s">
        <v>105520</v>
      </c>
      <c r="E197" s="149"/>
      <c r="F197" s="149"/>
      <c r="G197" s="149"/>
      <c r="H197" s="149"/>
      <c r="I197" s="149"/>
      <c r="J197" s="149"/>
      <c r="K197" s="150"/>
      <c r="L197" s="151"/>
      <c r="M197" s="152" t="s">
        <v>112080</v>
      </c>
      <c r="N197" s="153"/>
      <c r="O197" s="153"/>
      <c r="P197" s="154"/>
      <c r="Q197" s="154"/>
      <c r="R197" s="155">
        <f>+R198+R224</f>
        <v>11896000000</v>
      </c>
      <c r="S197" s="156"/>
      <c r="T197" s="156"/>
      <c r="U197" s="157"/>
    </row>
    <row r="198" spans="1:21" ht="15.75" x14ac:dyDescent="0.2">
      <c r="A198" s="322"/>
      <c r="B198" s="158" t="s">
        <v>105516</v>
      </c>
      <c r="C198" s="158" t="s">
        <v>105924</v>
      </c>
      <c r="D198" s="158" t="s">
        <v>105520</v>
      </c>
      <c r="E198" s="158" t="s">
        <v>105520</v>
      </c>
      <c r="F198" s="158"/>
      <c r="G198" s="158"/>
      <c r="H198" s="158"/>
      <c r="I198" s="158"/>
      <c r="J198" s="158"/>
      <c r="K198" s="159"/>
      <c r="L198" s="159"/>
      <c r="M198" s="160" t="s">
        <v>106437</v>
      </c>
      <c r="N198" s="161"/>
      <c r="O198" s="161"/>
      <c r="P198" s="162"/>
      <c r="Q198" s="162"/>
      <c r="R198" s="163">
        <f>+R199+R219</f>
        <v>705000000</v>
      </c>
      <c r="S198" s="164"/>
      <c r="T198" s="164"/>
      <c r="U198" s="165"/>
    </row>
    <row r="199" spans="1:21" ht="30" x14ac:dyDescent="0.2">
      <c r="A199" s="322"/>
      <c r="B199" s="62" t="s">
        <v>105516</v>
      </c>
      <c r="C199" s="62" t="s">
        <v>105924</v>
      </c>
      <c r="D199" s="62" t="s">
        <v>105520</v>
      </c>
      <c r="E199" s="62" t="s">
        <v>105520</v>
      </c>
      <c r="F199" s="62" t="s">
        <v>105538</v>
      </c>
      <c r="G199" s="62"/>
      <c r="H199" s="62"/>
      <c r="I199" s="62"/>
      <c r="J199" s="62"/>
      <c r="K199" s="63"/>
      <c r="L199" s="64"/>
      <c r="M199" s="65" t="s">
        <v>106589</v>
      </c>
      <c r="N199" s="66"/>
      <c r="O199" s="66"/>
      <c r="P199" s="67"/>
      <c r="Q199" s="67"/>
      <c r="R199" s="68">
        <f>+R200+R203+R206+R210+R216</f>
        <v>660000000</v>
      </c>
      <c r="S199" s="69"/>
      <c r="T199" s="69"/>
      <c r="U199" s="70"/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105535</v>
      </c>
      <c r="H200" s="166"/>
      <c r="I200" s="166"/>
      <c r="J200" s="166"/>
      <c r="K200" s="167"/>
      <c r="L200" s="167"/>
      <c r="M200" s="168" t="s">
        <v>106593</v>
      </c>
      <c r="N200" s="169"/>
      <c r="O200" s="169"/>
      <c r="P200" s="170"/>
      <c r="Q200" s="170"/>
      <c r="R200" s="171">
        <f>+R201</f>
        <v>25000000</v>
      </c>
      <c r="S200" s="172"/>
      <c r="T200" s="172"/>
      <c r="U200" s="173"/>
    </row>
    <row r="201" spans="1:21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105535</v>
      </c>
      <c r="H201" s="80" t="s">
        <v>105520</v>
      </c>
      <c r="I201" s="79"/>
      <c r="J201" s="79"/>
      <c r="K201" s="79"/>
      <c r="L201" s="79"/>
      <c r="M201" s="81" t="s">
        <v>106595</v>
      </c>
      <c r="N201" s="82"/>
      <c r="O201" s="82"/>
      <c r="P201" s="83"/>
      <c r="Q201" s="83"/>
      <c r="R201" s="84">
        <f>+R202</f>
        <v>25000000</v>
      </c>
      <c r="S201" s="85"/>
      <c r="T201" s="85"/>
      <c r="U201" s="100"/>
    </row>
    <row r="202" spans="1:21" ht="52.5" customHeight="1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9"/>
      <c r="K202" s="89" t="s">
        <v>112177</v>
      </c>
      <c r="L202" s="90" t="s">
        <v>113025</v>
      </c>
      <c r="M202" s="91" t="s">
        <v>113026</v>
      </c>
      <c r="N202" s="92">
        <v>45381</v>
      </c>
      <c r="O202" s="92" t="s">
        <v>113005</v>
      </c>
      <c r="P202" s="93" t="s">
        <v>113027</v>
      </c>
      <c r="Q202" s="93" t="s">
        <v>113007</v>
      </c>
      <c r="R202" s="94">
        <v>25000000</v>
      </c>
      <c r="S202" s="95"/>
      <c r="T202" s="127"/>
      <c r="U202" s="97" t="s">
        <v>113028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66" t="s">
        <v>105538</v>
      </c>
      <c r="H203" s="166"/>
      <c r="I203" s="166"/>
      <c r="J203" s="166"/>
      <c r="K203" s="167"/>
      <c r="L203" s="167"/>
      <c r="M203" s="168" t="s">
        <v>106611</v>
      </c>
      <c r="N203" s="169"/>
      <c r="O203" s="169"/>
      <c r="P203" s="170"/>
      <c r="Q203" s="170"/>
      <c r="R203" s="171">
        <f>+R204</f>
        <v>150000000</v>
      </c>
      <c r="S203" s="172"/>
      <c r="T203" s="172"/>
      <c r="U203" s="173"/>
    </row>
    <row r="204" spans="1:21" ht="60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80" t="s">
        <v>105538</v>
      </c>
      <c r="G204" s="80" t="s">
        <v>105538</v>
      </c>
      <c r="H204" s="80" t="s">
        <v>105675</v>
      </c>
      <c r="I204" s="79"/>
      <c r="J204" s="79"/>
      <c r="K204" s="79"/>
      <c r="L204" s="79"/>
      <c r="M204" s="81" t="s">
        <v>106617</v>
      </c>
      <c r="N204" s="82"/>
      <c r="O204" s="82"/>
      <c r="P204" s="83"/>
      <c r="Q204" s="83"/>
      <c r="R204" s="84">
        <f>+R205</f>
        <v>150000000</v>
      </c>
      <c r="S204" s="85"/>
      <c r="T204" s="85"/>
      <c r="U204" s="100"/>
    </row>
    <row r="205" spans="1:21" ht="60" x14ac:dyDescent="0.2">
      <c r="A205" s="322"/>
      <c r="B205" s="87"/>
      <c r="C205" s="88"/>
      <c r="D205" s="88"/>
      <c r="E205" s="88"/>
      <c r="F205" s="88"/>
      <c r="G205" s="88"/>
      <c r="H205" s="88"/>
      <c r="I205" s="88"/>
      <c r="J205" s="88"/>
      <c r="K205" s="89" t="s">
        <v>112186</v>
      </c>
      <c r="L205" s="174">
        <v>15101500</v>
      </c>
      <c r="M205" s="101" t="s">
        <v>113120</v>
      </c>
      <c r="N205" s="92">
        <v>45324</v>
      </c>
      <c r="O205" s="92" t="s">
        <v>113000</v>
      </c>
      <c r="P205" s="93" t="s">
        <v>113003</v>
      </c>
      <c r="Q205" s="93" t="s">
        <v>113037</v>
      </c>
      <c r="R205" s="94">
        <v>150000000</v>
      </c>
      <c r="S205" s="95"/>
      <c r="T205" s="127"/>
      <c r="U205" s="97" t="s">
        <v>112999</v>
      </c>
    </row>
    <row r="206" spans="1:21" ht="30" x14ac:dyDescent="0.2">
      <c r="A206" s="322"/>
      <c r="B206" s="166" t="s">
        <v>105516</v>
      </c>
      <c r="C206" s="166" t="s">
        <v>105924</v>
      </c>
      <c r="D206" s="166" t="s">
        <v>105520</v>
      </c>
      <c r="E206" s="166" t="s">
        <v>105520</v>
      </c>
      <c r="F206" s="166" t="s">
        <v>105538</v>
      </c>
      <c r="G206" s="175" t="s">
        <v>105544</v>
      </c>
      <c r="H206" s="166"/>
      <c r="I206" s="166"/>
      <c r="J206" s="166"/>
      <c r="K206" s="167"/>
      <c r="L206" s="167"/>
      <c r="M206" s="168" t="s">
        <v>106645</v>
      </c>
      <c r="N206" s="169"/>
      <c r="O206" s="169"/>
      <c r="P206" s="170"/>
      <c r="Q206" s="170"/>
      <c r="R206" s="171">
        <f>+R207</f>
        <v>45000000</v>
      </c>
      <c r="S206" s="172"/>
      <c r="T206" s="172"/>
      <c r="U206" s="173"/>
    </row>
    <row r="207" spans="1:21" x14ac:dyDescent="0.2">
      <c r="A207" s="322"/>
      <c r="B207" s="79" t="s">
        <v>105516</v>
      </c>
      <c r="C207" s="79" t="s">
        <v>105924</v>
      </c>
      <c r="D207" s="79" t="s">
        <v>105520</v>
      </c>
      <c r="E207" s="79" t="s">
        <v>105520</v>
      </c>
      <c r="F207" s="79" t="s">
        <v>105538</v>
      </c>
      <c r="G207" s="79" t="s">
        <v>105544</v>
      </c>
      <c r="H207" s="176" t="s">
        <v>105573</v>
      </c>
      <c r="I207" s="79"/>
      <c r="J207" s="79"/>
      <c r="K207" s="79"/>
      <c r="L207" s="79"/>
      <c r="M207" s="108" t="s">
        <v>106649</v>
      </c>
      <c r="N207" s="82"/>
      <c r="O207" s="82"/>
      <c r="P207" s="83"/>
      <c r="Q207" s="83"/>
      <c r="R207" s="84">
        <f>SUM(R208:R209)</f>
        <v>45000000</v>
      </c>
      <c r="S207" s="85"/>
      <c r="T207" s="85"/>
      <c r="U207" s="100"/>
    </row>
    <row r="208" spans="1:21" ht="75" customHeight="1" x14ac:dyDescent="0.2">
      <c r="A208" s="322"/>
      <c r="B208" s="135"/>
      <c r="C208" s="136"/>
      <c r="D208" s="136"/>
      <c r="E208" s="136"/>
      <c r="F208" s="136"/>
      <c r="G208" s="136"/>
      <c r="H208" s="136"/>
      <c r="I208" s="136"/>
      <c r="J208" s="137"/>
      <c r="K208" s="89" t="s">
        <v>112204</v>
      </c>
      <c r="L208" s="90" t="s">
        <v>113226</v>
      </c>
      <c r="M208" s="101" t="s">
        <v>113121</v>
      </c>
      <c r="N208" s="92">
        <v>45427</v>
      </c>
      <c r="O208" s="92" t="s">
        <v>113086</v>
      </c>
      <c r="P208" s="93" t="s">
        <v>113144</v>
      </c>
      <c r="Q208" s="93" t="s">
        <v>113037</v>
      </c>
      <c r="R208" s="94">
        <v>20000000</v>
      </c>
      <c r="S208" s="95"/>
      <c r="T208" s="96"/>
      <c r="U208" s="97" t="s">
        <v>113018</v>
      </c>
    </row>
    <row r="209" spans="1:21" ht="30.75" customHeight="1" x14ac:dyDescent="0.2">
      <c r="A209" s="322"/>
      <c r="B209" s="135"/>
      <c r="C209" s="136"/>
      <c r="D209" s="136"/>
      <c r="E209" s="136"/>
      <c r="F209" s="136"/>
      <c r="G209" s="136"/>
      <c r="H209" s="136"/>
      <c r="I209" s="136"/>
      <c r="J209" s="137"/>
      <c r="K209" s="89" t="s">
        <v>112204</v>
      </c>
      <c r="L209" s="90">
        <v>44103100</v>
      </c>
      <c r="M209" s="101" t="s">
        <v>113038</v>
      </c>
      <c r="N209" s="92">
        <v>45352</v>
      </c>
      <c r="O209" s="92" t="s">
        <v>113005</v>
      </c>
      <c r="P209" s="93" t="s">
        <v>113039</v>
      </c>
      <c r="Q209" s="93" t="s">
        <v>113301</v>
      </c>
      <c r="R209" s="94">
        <v>25000000</v>
      </c>
      <c r="S209" s="95"/>
      <c r="T209" s="96"/>
      <c r="U209" s="97" t="s">
        <v>113028</v>
      </c>
    </row>
    <row r="210" spans="1:21" x14ac:dyDescent="0.2">
      <c r="A210" s="322"/>
      <c r="B210" s="166" t="s">
        <v>105516</v>
      </c>
      <c r="C210" s="166" t="s">
        <v>105924</v>
      </c>
      <c r="D210" s="166" t="s">
        <v>105520</v>
      </c>
      <c r="E210" s="166" t="s">
        <v>105520</v>
      </c>
      <c r="F210" s="166" t="s">
        <v>105538</v>
      </c>
      <c r="G210" s="175" t="s">
        <v>105547</v>
      </c>
      <c r="H210" s="166"/>
      <c r="I210" s="166"/>
      <c r="J210" s="166"/>
      <c r="K210" s="167"/>
      <c r="L210" s="167"/>
      <c r="M210" s="168" t="s">
        <v>106657</v>
      </c>
      <c r="N210" s="169"/>
      <c r="O210" s="169"/>
      <c r="P210" s="170"/>
      <c r="Q210" s="170"/>
      <c r="R210" s="171">
        <f>+R211+R214</f>
        <v>240000000</v>
      </c>
      <c r="S210" s="172"/>
      <c r="T210" s="172"/>
      <c r="U210" s="173"/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105675</v>
      </c>
      <c r="I211" s="79"/>
      <c r="J211" s="79"/>
      <c r="K211" s="79"/>
      <c r="L211" s="79"/>
      <c r="M211" s="81" t="s">
        <v>106663</v>
      </c>
      <c r="N211" s="82"/>
      <c r="O211" s="82"/>
      <c r="P211" s="83"/>
      <c r="Q211" s="83"/>
      <c r="R211" s="84">
        <f>SUM(R212:R213)</f>
        <v>40000000</v>
      </c>
      <c r="S211" s="85"/>
      <c r="T211" s="85"/>
      <c r="U211" s="100"/>
    </row>
    <row r="212" spans="1:21" ht="25.5" customHeight="1" x14ac:dyDescent="0.2">
      <c r="A212" s="322"/>
      <c r="B212" s="87"/>
      <c r="C212" s="88"/>
      <c r="D212" s="88"/>
      <c r="E212" s="88"/>
      <c r="F212" s="88"/>
      <c r="G212" s="88"/>
      <c r="H212" s="88"/>
      <c r="I212" s="88"/>
      <c r="J212" s="89"/>
      <c r="K212" s="89" t="s">
        <v>112210</v>
      </c>
      <c r="L212" s="90" t="s">
        <v>113228</v>
      </c>
      <c r="M212" s="101" t="s">
        <v>113123</v>
      </c>
      <c r="N212" s="92">
        <v>45397</v>
      </c>
      <c r="O212" s="92" t="s">
        <v>113005</v>
      </c>
      <c r="P212" s="93" t="s">
        <v>113027</v>
      </c>
      <c r="Q212" s="93" t="s">
        <v>113007</v>
      </c>
      <c r="R212" s="94">
        <v>40000000</v>
      </c>
      <c r="S212" s="95"/>
      <c r="T212" s="96"/>
      <c r="U212" s="97" t="s">
        <v>113018</v>
      </c>
    </row>
    <row r="213" spans="1:21" ht="25.5" customHeight="1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77" t="s">
        <v>113227</v>
      </c>
      <c r="M213" s="101" t="s">
        <v>113122</v>
      </c>
      <c r="N213" s="92">
        <v>45352</v>
      </c>
      <c r="O213" s="92" t="s">
        <v>113000</v>
      </c>
      <c r="P213" s="93" t="s">
        <v>113039</v>
      </c>
      <c r="Q213" s="93" t="s">
        <v>113095</v>
      </c>
      <c r="R213" s="94">
        <v>0</v>
      </c>
      <c r="S213" s="95"/>
      <c r="T213" s="96"/>
      <c r="U213" s="97" t="s">
        <v>113018</v>
      </c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176" t="s">
        <v>105547</v>
      </c>
      <c r="H214" s="176" t="s">
        <v>106109</v>
      </c>
      <c r="I214" s="79"/>
      <c r="J214" s="79"/>
      <c r="K214" s="79"/>
      <c r="L214" s="79"/>
      <c r="M214" s="108" t="s">
        <v>106667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135"/>
      <c r="C215" s="136"/>
      <c r="D215" s="136"/>
      <c r="E215" s="136"/>
      <c r="F215" s="136"/>
      <c r="G215" s="136"/>
      <c r="H215" s="136"/>
      <c r="I215" s="136"/>
      <c r="J215" s="137"/>
      <c r="K215" s="89" t="s">
        <v>112210</v>
      </c>
      <c r="L215" s="118" t="s">
        <v>113229</v>
      </c>
      <c r="M215" s="119" t="s">
        <v>113124</v>
      </c>
      <c r="N215" s="120">
        <v>45393</v>
      </c>
      <c r="O215" s="92" t="s">
        <v>113005</v>
      </c>
      <c r="P215" s="93" t="s">
        <v>113144</v>
      </c>
      <c r="Q215" s="130" t="s">
        <v>113095</v>
      </c>
      <c r="R215" s="94">
        <v>200000000</v>
      </c>
      <c r="S215" s="95"/>
      <c r="T215" s="96"/>
      <c r="U215" s="97" t="s">
        <v>113018</v>
      </c>
    </row>
    <row r="216" spans="1:21" ht="30" x14ac:dyDescent="0.2">
      <c r="A216" s="322"/>
      <c r="B216" s="166" t="s">
        <v>105516</v>
      </c>
      <c r="C216" s="166" t="s">
        <v>105924</v>
      </c>
      <c r="D216" s="166" t="s">
        <v>105520</v>
      </c>
      <c r="E216" s="166" t="s">
        <v>105520</v>
      </c>
      <c r="F216" s="166" t="s">
        <v>105538</v>
      </c>
      <c r="G216" s="166" t="s">
        <v>105550</v>
      </c>
      <c r="H216" s="166"/>
      <c r="I216" s="166"/>
      <c r="J216" s="166"/>
      <c r="K216" s="167"/>
      <c r="L216" s="167"/>
      <c r="M216" s="168" t="s">
        <v>106669</v>
      </c>
      <c r="N216" s="169"/>
      <c r="O216" s="169"/>
      <c r="P216" s="170"/>
      <c r="Q216" s="170"/>
      <c r="R216" s="171">
        <f>+R217</f>
        <v>200000000</v>
      </c>
      <c r="S216" s="172"/>
      <c r="T216" s="172"/>
      <c r="U216" s="173"/>
    </row>
    <row r="217" spans="1:21" x14ac:dyDescent="0.2">
      <c r="A217" s="322"/>
      <c r="B217" s="79" t="s">
        <v>105516</v>
      </c>
      <c r="C217" s="79" t="s">
        <v>105924</v>
      </c>
      <c r="D217" s="79" t="s">
        <v>105520</v>
      </c>
      <c r="E217" s="79" t="s">
        <v>105520</v>
      </c>
      <c r="F217" s="79" t="s">
        <v>105538</v>
      </c>
      <c r="G217" s="79" t="s">
        <v>105550</v>
      </c>
      <c r="H217" s="79" t="s">
        <v>105520</v>
      </c>
      <c r="I217" s="79"/>
      <c r="J217" s="79"/>
      <c r="K217" s="79"/>
      <c r="L217" s="79"/>
      <c r="M217" s="81" t="s">
        <v>106671</v>
      </c>
      <c r="N217" s="82"/>
      <c r="O217" s="82"/>
      <c r="P217" s="83"/>
      <c r="Q217" s="83"/>
      <c r="R217" s="84">
        <f>+R218</f>
        <v>200000000</v>
      </c>
      <c r="S217" s="85"/>
      <c r="T217" s="85"/>
      <c r="U217" s="100"/>
    </row>
    <row r="218" spans="1:21" ht="45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112216</v>
      </c>
      <c r="L218" s="90">
        <v>30171600</v>
      </c>
      <c r="M218" s="101" t="s">
        <v>113125</v>
      </c>
      <c r="N218" s="92">
        <v>45306</v>
      </c>
      <c r="O218" s="92" t="s">
        <v>113036</v>
      </c>
      <c r="P218" s="93" t="s">
        <v>113021</v>
      </c>
      <c r="Q218" s="93" t="s">
        <v>112998</v>
      </c>
      <c r="R218" s="94">
        <v>200000000</v>
      </c>
      <c r="S218" s="95"/>
      <c r="T218" s="96"/>
      <c r="U218" s="97" t="s">
        <v>112999</v>
      </c>
    </row>
    <row r="219" spans="1:21" x14ac:dyDescent="0.2">
      <c r="A219" s="322"/>
      <c r="B219" s="62" t="s">
        <v>105516</v>
      </c>
      <c r="C219" s="62" t="s">
        <v>105924</v>
      </c>
      <c r="D219" s="62" t="s">
        <v>105520</v>
      </c>
      <c r="E219" s="62" t="s">
        <v>105520</v>
      </c>
      <c r="F219" s="178" t="s">
        <v>105541</v>
      </c>
      <c r="G219" s="62"/>
      <c r="H219" s="62"/>
      <c r="I219" s="62"/>
      <c r="J219" s="62"/>
      <c r="K219" s="63"/>
      <c r="L219" s="64"/>
      <c r="M219" s="65" t="s">
        <v>112242</v>
      </c>
      <c r="N219" s="66"/>
      <c r="O219" s="66"/>
      <c r="P219" s="67"/>
      <c r="Q219" s="67"/>
      <c r="R219" s="68">
        <f>+R220+R222</f>
        <v>45000000</v>
      </c>
      <c r="S219" s="69"/>
      <c r="T219" s="69"/>
      <c r="U219" s="70"/>
    </row>
    <row r="220" spans="1:21" ht="30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66" t="s">
        <v>105535</v>
      </c>
      <c r="H220" s="166"/>
      <c r="I220" s="166"/>
      <c r="J220" s="166"/>
      <c r="K220" s="167"/>
      <c r="L220" s="167"/>
      <c r="M220" s="168" t="s">
        <v>106709</v>
      </c>
      <c r="N220" s="169"/>
      <c r="O220" s="169"/>
      <c r="P220" s="170"/>
      <c r="Q220" s="170"/>
      <c r="R220" s="171">
        <f>+R221</f>
        <v>0</v>
      </c>
      <c r="S220" s="172"/>
      <c r="T220" s="172"/>
      <c r="U220" s="173"/>
    </row>
    <row r="221" spans="1:21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112244</v>
      </c>
      <c r="L221" s="177"/>
      <c r="M221" s="101"/>
      <c r="N221" s="92"/>
      <c r="O221" s="92"/>
      <c r="P221" s="93"/>
      <c r="Q221" s="93"/>
      <c r="R221" s="94">
        <v>0</v>
      </c>
      <c r="S221" s="95"/>
      <c r="T221" s="96"/>
      <c r="U221" s="97"/>
    </row>
    <row r="222" spans="1:21" x14ac:dyDescent="0.2">
      <c r="A222" s="322"/>
      <c r="B222" s="166" t="s">
        <v>105516</v>
      </c>
      <c r="C222" s="166" t="s">
        <v>105924</v>
      </c>
      <c r="D222" s="166" t="s">
        <v>105520</v>
      </c>
      <c r="E222" s="166" t="s">
        <v>105520</v>
      </c>
      <c r="F222" s="166" t="s">
        <v>105541</v>
      </c>
      <c r="G222" s="175" t="s">
        <v>105547</v>
      </c>
      <c r="H222" s="166"/>
      <c r="I222" s="166"/>
      <c r="J222" s="166"/>
      <c r="K222" s="167"/>
      <c r="L222" s="167"/>
      <c r="M222" s="168" t="s">
        <v>106282</v>
      </c>
      <c r="N222" s="169"/>
      <c r="O222" s="169"/>
      <c r="P222" s="170"/>
      <c r="Q222" s="170"/>
      <c r="R222" s="171">
        <f>+R223</f>
        <v>45000000</v>
      </c>
      <c r="S222" s="172"/>
      <c r="T222" s="172"/>
      <c r="U222" s="173"/>
    </row>
    <row r="223" spans="1:21" ht="45" x14ac:dyDescent="0.2">
      <c r="A223" s="322"/>
      <c r="B223" s="87"/>
      <c r="C223" s="88"/>
      <c r="D223" s="88"/>
      <c r="E223" s="88"/>
      <c r="F223" s="88"/>
      <c r="G223" s="88"/>
      <c r="H223" s="88"/>
      <c r="I223" s="88"/>
      <c r="J223" s="89"/>
      <c r="K223" s="89" t="s">
        <v>112266</v>
      </c>
      <c r="L223" s="177">
        <v>46171619</v>
      </c>
      <c r="M223" s="101" t="s">
        <v>113235</v>
      </c>
      <c r="N223" s="92">
        <v>45366</v>
      </c>
      <c r="O223" s="92" t="s">
        <v>113000</v>
      </c>
      <c r="P223" s="93" t="s">
        <v>113001</v>
      </c>
      <c r="Q223" s="93" t="s">
        <v>112998</v>
      </c>
      <c r="R223" s="94">
        <v>45000000</v>
      </c>
      <c r="S223" s="95"/>
      <c r="T223" s="96"/>
      <c r="U223" s="97" t="s">
        <v>112999</v>
      </c>
    </row>
    <row r="224" spans="1:21" ht="15.75" x14ac:dyDescent="0.2">
      <c r="A224" s="322"/>
      <c r="B224" s="158" t="s">
        <v>105516</v>
      </c>
      <c r="C224" s="158" t="s">
        <v>105924</v>
      </c>
      <c r="D224" s="158" t="s">
        <v>105520</v>
      </c>
      <c r="E224" s="158" t="s">
        <v>105573</v>
      </c>
      <c r="F224" s="158"/>
      <c r="G224" s="158"/>
      <c r="H224" s="158"/>
      <c r="I224" s="158"/>
      <c r="J224" s="158"/>
      <c r="K224" s="159"/>
      <c r="L224" s="159">
        <v>30171700</v>
      </c>
      <c r="M224" s="160" t="s">
        <v>106777</v>
      </c>
      <c r="N224" s="161"/>
      <c r="O224" s="161"/>
      <c r="P224" s="162"/>
      <c r="Q224" s="162"/>
      <c r="R224" s="163">
        <f>SUM(R225+R245+R249+R258+R286)</f>
        <v>11191000000</v>
      </c>
      <c r="S224" s="164"/>
      <c r="T224" s="164"/>
      <c r="U224" s="165"/>
    </row>
    <row r="225" spans="1:21" x14ac:dyDescent="0.2">
      <c r="A225" s="322"/>
      <c r="B225" s="62" t="s">
        <v>105516</v>
      </c>
      <c r="C225" s="62" t="s">
        <v>105924</v>
      </c>
      <c r="D225" s="62" t="s">
        <v>105520</v>
      </c>
      <c r="E225" s="62" t="s">
        <v>105573</v>
      </c>
      <c r="F225" s="62" t="s">
        <v>105544</v>
      </c>
      <c r="G225" s="62"/>
      <c r="H225" s="62"/>
      <c r="I225" s="62"/>
      <c r="J225" s="62"/>
      <c r="K225" s="63"/>
      <c r="L225" s="64">
        <v>75153000</v>
      </c>
      <c r="M225" s="65" t="s">
        <v>106779</v>
      </c>
      <c r="N225" s="66"/>
      <c r="O225" s="66"/>
      <c r="P225" s="67"/>
      <c r="Q225" s="67"/>
      <c r="R225" s="68">
        <f>+R226</f>
        <v>8248270000</v>
      </c>
      <c r="S225" s="69"/>
      <c r="T225" s="69"/>
      <c r="U225" s="70"/>
    </row>
    <row r="226" spans="1:21" x14ac:dyDescent="0.2">
      <c r="A226" s="322"/>
      <c r="B226" s="166" t="s">
        <v>105516</v>
      </c>
      <c r="C226" s="166" t="s">
        <v>105924</v>
      </c>
      <c r="D226" s="166" t="s">
        <v>105520</v>
      </c>
      <c r="E226" s="166" t="s">
        <v>105573</v>
      </c>
      <c r="F226" s="166" t="s">
        <v>105544</v>
      </c>
      <c r="G226" s="166" t="s">
        <v>105541</v>
      </c>
      <c r="H226" s="166"/>
      <c r="I226" s="166"/>
      <c r="J226" s="166"/>
      <c r="K226" s="167"/>
      <c r="L226" s="167"/>
      <c r="M226" s="179" t="s">
        <v>106781</v>
      </c>
      <c r="N226" s="169"/>
      <c r="O226" s="169"/>
      <c r="P226" s="170"/>
      <c r="Q226" s="170"/>
      <c r="R226" s="171">
        <f>+R227+R236+R240</f>
        <v>8248270000</v>
      </c>
      <c r="S226" s="172"/>
      <c r="T226" s="172"/>
      <c r="U226" s="173"/>
    </row>
    <row r="227" spans="1:21" x14ac:dyDescent="0.2">
      <c r="A227" s="322"/>
      <c r="B227" s="79" t="s">
        <v>105516</v>
      </c>
      <c r="C227" s="79" t="s">
        <v>105924</v>
      </c>
      <c r="D227" s="79" t="s">
        <v>105520</v>
      </c>
      <c r="E227" s="79" t="s">
        <v>105573</v>
      </c>
      <c r="F227" s="79" t="s">
        <v>105544</v>
      </c>
      <c r="G227" s="79" t="s">
        <v>105541</v>
      </c>
      <c r="H227" s="79" t="s">
        <v>105924</v>
      </c>
      <c r="I227" s="79"/>
      <c r="J227" s="79"/>
      <c r="K227" s="79"/>
      <c r="L227" s="79"/>
      <c r="M227" s="81" t="s">
        <v>106811</v>
      </c>
      <c r="N227" s="82"/>
      <c r="O227" s="82"/>
      <c r="P227" s="83"/>
      <c r="Q227" s="83"/>
      <c r="R227" s="84">
        <f>SUM(R228:R235)</f>
        <v>6719670000</v>
      </c>
      <c r="S227" s="85"/>
      <c r="T227" s="85"/>
      <c r="U227" s="100"/>
    </row>
    <row r="228" spans="1:21" ht="65.25" customHeight="1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113127</v>
      </c>
      <c r="M228" s="91" t="s">
        <v>113236</v>
      </c>
      <c r="N228" s="92">
        <v>45306</v>
      </c>
      <c r="O228" s="92" t="s">
        <v>113059</v>
      </c>
      <c r="P228" s="93" t="s">
        <v>113021</v>
      </c>
      <c r="Q228" s="93" t="s">
        <v>113126</v>
      </c>
      <c r="R228" s="94">
        <f>3000000000+2700000000</f>
        <v>5700000000</v>
      </c>
      <c r="S228" s="95"/>
      <c r="T228" s="127"/>
      <c r="U228" s="97" t="s">
        <v>112999</v>
      </c>
    </row>
    <row r="229" spans="1:21" ht="54" customHeight="1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113127</v>
      </c>
      <c r="M229" s="91" t="s">
        <v>113237</v>
      </c>
      <c r="N229" s="92">
        <v>45306</v>
      </c>
      <c r="O229" s="92" t="s">
        <v>113059</v>
      </c>
      <c r="P229" s="93" t="s">
        <v>113021</v>
      </c>
      <c r="Q229" s="93" t="s">
        <v>113126</v>
      </c>
      <c r="R229" s="94">
        <f>2700000000-2700000000</f>
        <v>0</v>
      </c>
      <c r="S229" s="95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 t="s">
        <v>113128</v>
      </c>
      <c r="M230" s="91" t="s">
        <v>113238</v>
      </c>
      <c r="N230" s="92"/>
      <c r="O230" s="92"/>
      <c r="P230" s="93"/>
      <c r="Q230" s="93"/>
      <c r="R230" s="94">
        <v>225120000</v>
      </c>
      <c r="S230" s="95"/>
      <c r="T230" s="180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113128</v>
      </c>
      <c r="M231" s="91" t="s">
        <v>113239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225120000</v>
      </c>
      <c r="S231" s="182" t="s">
        <v>105533</v>
      </c>
      <c r="T231" s="310">
        <v>238680000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113240</v>
      </c>
      <c r="N232" s="92"/>
      <c r="O232" s="92"/>
      <c r="P232" s="93"/>
      <c r="Q232" s="93"/>
      <c r="R232" s="94">
        <v>256940000</v>
      </c>
      <c r="S232" s="181"/>
      <c r="T232" s="127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113241</v>
      </c>
      <c r="N233" s="92">
        <v>45397</v>
      </c>
      <c r="O233" s="92" t="s">
        <v>113086</v>
      </c>
      <c r="P233" s="93" t="s">
        <v>113067</v>
      </c>
      <c r="Q233" s="93" t="s">
        <v>113068</v>
      </c>
      <c r="R233" s="94">
        <v>256940000</v>
      </c>
      <c r="S233" s="95" t="s">
        <v>105533</v>
      </c>
      <c r="T233" s="311">
        <v>272400000</v>
      </c>
      <c r="U233" s="97" t="s">
        <v>112999</v>
      </c>
    </row>
    <row r="234" spans="1:21" ht="45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90" t="s">
        <v>113108</v>
      </c>
      <c r="M234" s="91" t="s">
        <v>113109</v>
      </c>
      <c r="N234" s="92">
        <v>45444</v>
      </c>
      <c r="O234" s="92" t="s">
        <v>112996</v>
      </c>
      <c r="P234" s="130" t="s">
        <v>113006</v>
      </c>
      <c r="Q234" s="93" t="s">
        <v>113051</v>
      </c>
      <c r="R234" s="94">
        <v>25550000</v>
      </c>
      <c r="S234" s="182"/>
      <c r="T234" s="180"/>
      <c r="U234" s="97" t="s">
        <v>112999</v>
      </c>
    </row>
    <row r="235" spans="1:21" ht="45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>
        <v>72154100</v>
      </c>
      <c r="M235" s="91" t="s">
        <v>113185</v>
      </c>
      <c r="N235" s="92">
        <v>45474</v>
      </c>
      <c r="O235" s="92" t="s">
        <v>112996</v>
      </c>
      <c r="P235" s="130" t="s">
        <v>112997</v>
      </c>
      <c r="Q235" s="93" t="s">
        <v>113051</v>
      </c>
      <c r="R235" s="94">
        <v>30000000</v>
      </c>
      <c r="S235" s="182"/>
      <c r="T235" s="180"/>
      <c r="U235" s="97" t="s">
        <v>112999</v>
      </c>
    </row>
    <row r="236" spans="1:21" x14ac:dyDescent="0.2">
      <c r="A236" s="322"/>
      <c r="B236" s="79" t="s">
        <v>105516</v>
      </c>
      <c r="C236" s="79" t="s">
        <v>105924</v>
      </c>
      <c r="D236" s="79" t="s">
        <v>105520</v>
      </c>
      <c r="E236" s="79" t="s">
        <v>105573</v>
      </c>
      <c r="F236" s="79" t="s">
        <v>105544</v>
      </c>
      <c r="G236" s="79" t="s">
        <v>105541</v>
      </c>
      <c r="H236" s="79" t="s">
        <v>106100</v>
      </c>
      <c r="I236" s="79"/>
      <c r="J236" s="79"/>
      <c r="K236" s="79"/>
      <c r="L236" s="79"/>
      <c r="M236" s="81" t="s">
        <v>106813</v>
      </c>
      <c r="N236" s="82"/>
      <c r="O236" s="82"/>
      <c r="P236" s="83"/>
      <c r="Q236" s="83"/>
      <c r="R236" s="84">
        <f>SUM(R237:R239)</f>
        <v>124700000</v>
      </c>
      <c r="S236" s="85"/>
      <c r="T236" s="85"/>
      <c r="U236" s="100"/>
    </row>
    <row r="237" spans="1:21" ht="30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54">
        <v>72101500</v>
      </c>
      <c r="M237" s="101" t="s">
        <v>113129</v>
      </c>
      <c r="N237" s="92">
        <v>45301</v>
      </c>
      <c r="O237" s="92" t="s">
        <v>113181</v>
      </c>
      <c r="P237" s="93" t="s">
        <v>113186</v>
      </c>
      <c r="Q237" s="93" t="s">
        <v>113052</v>
      </c>
      <c r="R237" s="94">
        <v>29700000</v>
      </c>
      <c r="S237" s="95"/>
      <c r="T237" s="183"/>
      <c r="U237" s="97" t="s">
        <v>112999</v>
      </c>
    </row>
    <row r="238" spans="1:21" ht="6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90" t="s">
        <v>113130</v>
      </c>
      <c r="M238" s="101" t="s">
        <v>113263</v>
      </c>
      <c r="N238" s="92">
        <v>45364</v>
      </c>
      <c r="O238" s="92" t="s">
        <v>113005</v>
      </c>
      <c r="P238" s="93" t="s">
        <v>113027</v>
      </c>
      <c r="Q238" s="93" t="s">
        <v>113095</v>
      </c>
      <c r="R238" s="94">
        <v>95000000</v>
      </c>
      <c r="S238" s="95"/>
      <c r="T238" s="183"/>
      <c r="U238" s="97" t="s">
        <v>113002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90" t="s">
        <v>113130</v>
      </c>
      <c r="M239" s="91" t="s">
        <v>113264</v>
      </c>
      <c r="N239" s="92">
        <v>44998</v>
      </c>
      <c r="O239" s="92" t="s">
        <v>113005</v>
      </c>
      <c r="P239" s="93" t="s">
        <v>113003</v>
      </c>
      <c r="Q239" s="93" t="s">
        <v>113095</v>
      </c>
      <c r="R239" s="94">
        <v>0</v>
      </c>
      <c r="S239" s="95"/>
      <c r="T239" s="183"/>
      <c r="U239" s="97" t="s">
        <v>113002</v>
      </c>
    </row>
    <row r="240" spans="1:21" x14ac:dyDescent="0.2">
      <c r="A240" s="322"/>
      <c r="B240" s="79" t="s">
        <v>105516</v>
      </c>
      <c r="C240" s="79" t="s">
        <v>105924</v>
      </c>
      <c r="D240" s="79" t="s">
        <v>105520</v>
      </c>
      <c r="E240" s="79" t="s">
        <v>105573</v>
      </c>
      <c r="F240" s="79" t="s">
        <v>105544</v>
      </c>
      <c r="G240" s="79" t="s">
        <v>105541</v>
      </c>
      <c r="H240" s="79" t="s">
        <v>106103</v>
      </c>
      <c r="I240" s="79"/>
      <c r="J240" s="79"/>
      <c r="K240" s="79"/>
      <c r="L240" s="79"/>
      <c r="M240" s="81" t="s">
        <v>106815</v>
      </c>
      <c r="N240" s="82"/>
      <c r="O240" s="82"/>
      <c r="P240" s="83"/>
      <c r="Q240" s="83"/>
      <c r="R240" s="84">
        <f>SUM(R241:R244)</f>
        <v>1403900000</v>
      </c>
      <c r="S240" s="85"/>
      <c r="T240" s="85"/>
      <c r="U240" s="100"/>
    </row>
    <row r="241" spans="1:25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72141100</v>
      </c>
      <c r="M241" s="101" t="s">
        <v>113242</v>
      </c>
      <c r="N241" s="92">
        <v>45301</v>
      </c>
      <c r="O241" s="92" t="s">
        <v>113181</v>
      </c>
      <c r="P241" s="93" t="s">
        <v>113186</v>
      </c>
      <c r="Q241" s="93" t="s">
        <v>113052</v>
      </c>
      <c r="R241" s="94">
        <v>15600000</v>
      </c>
      <c r="S241" s="95"/>
      <c r="T241" s="183"/>
      <c r="U241" s="97" t="s">
        <v>112999</v>
      </c>
    </row>
    <row r="242" spans="1:25" ht="45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54">
        <v>72101500</v>
      </c>
      <c r="M242" s="101" t="s">
        <v>113131</v>
      </c>
      <c r="N242" s="92">
        <v>45301</v>
      </c>
      <c r="O242" s="92" t="s">
        <v>113181</v>
      </c>
      <c r="P242" s="93" t="s">
        <v>113186</v>
      </c>
      <c r="Q242" s="93" t="s">
        <v>113052</v>
      </c>
      <c r="R242" s="94">
        <v>302500000</v>
      </c>
      <c r="S242" s="95"/>
      <c r="T242" s="183"/>
      <c r="U242" s="97" t="s">
        <v>112999</v>
      </c>
    </row>
    <row r="243" spans="1:25" ht="45" x14ac:dyDescent="0.2">
      <c r="A243" s="322"/>
      <c r="B243" s="87"/>
      <c r="C243" s="88"/>
      <c r="D243" s="88"/>
      <c r="E243" s="88"/>
      <c r="F243" s="88"/>
      <c r="G243" s="88"/>
      <c r="H243" s="88"/>
      <c r="I243" s="88"/>
      <c r="J243" s="89"/>
      <c r="K243" s="89" t="s">
        <v>112301</v>
      </c>
      <c r="L243" s="54">
        <v>72101500</v>
      </c>
      <c r="M243" s="101" t="s">
        <v>113132</v>
      </c>
      <c r="N243" s="92">
        <v>45301</v>
      </c>
      <c r="O243" s="92" t="s">
        <v>113059</v>
      </c>
      <c r="P243" s="93" t="s">
        <v>113010</v>
      </c>
      <c r="Q243" s="93" t="s">
        <v>113052</v>
      </c>
      <c r="R243" s="94">
        <v>85800000</v>
      </c>
      <c r="S243" s="95"/>
      <c r="T243" s="183"/>
      <c r="U243" s="97" t="s">
        <v>112999</v>
      </c>
    </row>
    <row r="244" spans="1:25" ht="30" x14ac:dyDescent="0.2">
      <c r="A244" s="322"/>
      <c r="B244" s="87"/>
      <c r="C244" s="88"/>
      <c r="D244" s="88"/>
      <c r="E244" s="88"/>
      <c r="F244" s="88"/>
      <c r="G244" s="88"/>
      <c r="H244" s="88"/>
      <c r="I244" s="88"/>
      <c r="J244" s="89"/>
      <c r="K244" s="89" t="s">
        <v>112301</v>
      </c>
      <c r="L244" s="90">
        <v>72101500</v>
      </c>
      <c r="M244" s="101" t="s">
        <v>113133</v>
      </c>
      <c r="N244" s="92">
        <v>45301</v>
      </c>
      <c r="O244" s="92" t="s">
        <v>113059</v>
      </c>
      <c r="P244" s="93" t="s">
        <v>113010</v>
      </c>
      <c r="Q244" s="93" t="s">
        <v>113052</v>
      </c>
      <c r="R244" s="94">
        <v>1000000000</v>
      </c>
      <c r="S244" s="95"/>
      <c r="T244" s="183"/>
      <c r="U244" s="97" t="s">
        <v>112999</v>
      </c>
    </row>
    <row r="245" spans="1:25" ht="45" x14ac:dyDescent="0.2">
      <c r="A245" s="322"/>
      <c r="B245" s="184" t="s">
        <v>105516</v>
      </c>
      <c r="C245" s="184" t="s">
        <v>105924</v>
      </c>
      <c r="D245" s="184" t="s">
        <v>105520</v>
      </c>
      <c r="E245" s="184" t="s">
        <v>105573</v>
      </c>
      <c r="F245" s="184" t="s">
        <v>105547</v>
      </c>
      <c r="G245" s="184"/>
      <c r="H245" s="184"/>
      <c r="I245" s="184"/>
      <c r="J245" s="184"/>
      <c r="K245" s="185"/>
      <c r="L245" s="64"/>
      <c r="M245" s="65" t="s">
        <v>112320</v>
      </c>
      <c r="N245" s="66"/>
      <c r="O245" s="186"/>
      <c r="P245" s="67"/>
      <c r="Q245" s="67"/>
      <c r="R245" s="68">
        <f>+R246</f>
        <v>3400000</v>
      </c>
      <c r="S245" s="69"/>
      <c r="T245" s="69"/>
      <c r="U245" s="70"/>
    </row>
    <row r="246" spans="1:25" x14ac:dyDescent="0.2">
      <c r="A246" s="322"/>
      <c r="B246" s="187" t="s">
        <v>105516</v>
      </c>
      <c r="C246" s="187" t="s">
        <v>105924</v>
      </c>
      <c r="D246" s="187" t="s">
        <v>105520</v>
      </c>
      <c r="E246" s="187" t="s">
        <v>105573</v>
      </c>
      <c r="F246" s="187" t="s">
        <v>105547</v>
      </c>
      <c r="G246" s="187" t="s">
        <v>105550</v>
      </c>
      <c r="H246" s="187"/>
      <c r="I246" s="187"/>
      <c r="J246" s="187"/>
      <c r="K246" s="188"/>
      <c r="L246" s="167"/>
      <c r="M246" s="168" t="s">
        <v>106841</v>
      </c>
      <c r="N246" s="169"/>
      <c r="O246" s="169"/>
      <c r="P246" s="170"/>
      <c r="Q246" s="170"/>
      <c r="R246" s="171">
        <f>+R247</f>
        <v>3400000</v>
      </c>
      <c r="S246" s="172"/>
      <c r="T246" s="172"/>
      <c r="U246" s="173"/>
    </row>
    <row r="247" spans="1:25" x14ac:dyDescent="0.2">
      <c r="A247" s="322"/>
      <c r="B247" s="80" t="s">
        <v>105516</v>
      </c>
      <c r="C247" s="80" t="s">
        <v>105924</v>
      </c>
      <c r="D247" s="80" t="s">
        <v>105520</v>
      </c>
      <c r="E247" s="80" t="s">
        <v>105573</v>
      </c>
      <c r="F247" s="80" t="s">
        <v>105547</v>
      </c>
      <c r="G247" s="80" t="s">
        <v>105550</v>
      </c>
      <c r="H247" s="80" t="s">
        <v>105520</v>
      </c>
      <c r="I247" s="80"/>
      <c r="J247" s="80"/>
      <c r="K247" s="80"/>
      <c r="L247" s="79"/>
      <c r="M247" s="81" t="s">
        <v>106843</v>
      </c>
      <c r="N247" s="82"/>
      <c r="O247" s="82"/>
      <c r="P247" s="83"/>
      <c r="Q247" s="83"/>
      <c r="R247" s="84">
        <f>+R248</f>
        <v>3400000</v>
      </c>
      <c r="S247" s="85"/>
      <c r="T247" s="85"/>
      <c r="U247" s="86"/>
    </row>
    <row r="248" spans="1:25" ht="30" x14ac:dyDescent="0.2">
      <c r="A248" s="322"/>
      <c r="B248" s="87"/>
      <c r="C248" s="88"/>
      <c r="D248" s="88"/>
      <c r="E248" s="88"/>
      <c r="F248" s="88"/>
      <c r="G248" s="88"/>
      <c r="H248" s="88"/>
      <c r="I248" s="88"/>
      <c r="J248" s="89"/>
      <c r="K248" s="89" t="s">
        <v>112476</v>
      </c>
      <c r="L248" s="54">
        <v>78121600</v>
      </c>
      <c r="M248" s="101" t="s">
        <v>113134</v>
      </c>
      <c r="N248" s="92">
        <v>45301</v>
      </c>
      <c r="O248" s="92" t="s">
        <v>113181</v>
      </c>
      <c r="P248" s="93" t="s">
        <v>113010</v>
      </c>
      <c r="Q248" s="93" t="s">
        <v>113052</v>
      </c>
      <c r="R248" s="94">
        <f>25300000-1400000-20500000</f>
        <v>3400000</v>
      </c>
      <c r="S248" s="131"/>
      <c r="T248" s="189"/>
      <c r="U248" s="97" t="s">
        <v>112999</v>
      </c>
      <c r="W248" s="329"/>
      <c r="X248" s="330"/>
      <c r="Y248" s="330"/>
    </row>
    <row r="249" spans="1:25" ht="30" x14ac:dyDescent="0.2">
      <c r="A249" s="322"/>
      <c r="B249" s="62" t="s">
        <v>105516</v>
      </c>
      <c r="C249" s="62" t="s">
        <v>105924</v>
      </c>
      <c r="D249" s="62" t="s">
        <v>105520</v>
      </c>
      <c r="E249" s="62" t="s">
        <v>105573</v>
      </c>
      <c r="F249" s="62" t="s">
        <v>105550</v>
      </c>
      <c r="G249" s="62"/>
      <c r="H249" s="62"/>
      <c r="I249" s="62"/>
      <c r="J249" s="62"/>
      <c r="K249" s="63"/>
      <c r="L249" s="64"/>
      <c r="M249" s="65" t="s">
        <v>106865</v>
      </c>
      <c r="N249" s="66"/>
      <c r="O249" s="186"/>
      <c r="P249" s="67"/>
      <c r="Q249" s="67"/>
      <c r="R249" s="68">
        <f>+R250+R254</f>
        <v>199331200</v>
      </c>
      <c r="S249" s="69"/>
      <c r="T249" s="69"/>
      <c r="U249" s="70"/>
    </row>
    <row r="250" spans="1:25" x14ac:dyDescent="0.2">
      <c r="A250" s="322"/>
      <c r="B250" s="166" t="s">
        <v>105516</v>
      </c>
      <c r="C250" s="166" t="s">
        <v>105924</v>
      </c>
      <c r="D250" s="166" t="s">
        <v>105520</v>
      </c>
      <c r="E250" s="166" t="s">
        <v>105573</v>
      </c>
      <c r="F250" s="166" t="s">
        <v>105550</v>
      </c>
      <c r="G250" s="187" t="s">
        <v>105528</v>
      </c>
      <c r="H250" s="166"/>
      <c r="I250" s="166"/>
      <c r="J250" s="166"/>
      <c r="K250" s="167"/>
      <c r="L250" s="167"/>
      <c r="M250" s="168" t="s">
        <v>106867</v>
      </c>
      <c r="N250" s="169"/>
      <c r="O250" s="169"/>
      <c r="P250" s="170"/>
      <c r="Q250" s="170"/>
      <c r="R250" s="171">
        <f>+R251</f>
        <v>75000000</v>
      </c>
      <c r="S250" s="172"/>
      <c r="T250" s="172"/>
      <c r="U250" s="173"/>
    </row>
    <row r="251" spans="1:25" ht="30" x14ac:dyDescent="0.2">
      <c r="A251" s="322"/>
      <c r="B251" s="80" t="s">
        <v>105516</v>
      </c>
      <c r="C251" s="80" t="s">
        <v>105924</v>
      </c>
      <c r="D251" s="80" t="s">
        <v>105520</v>
      </c>
      <c r="E251" s="80" t="s">
        <v>105573</v>
      </c>
      <c r="F251" s="80" t="s">
        <v>105550</v>
      </c>
      <c r="G251" s="80" t="s">
        <v>105528</v>
      </c>
      <c r="H251" s="80" t="s">
        <v>105675</v>
      </c>
      <c r="I251" s="80"/>
      <c r="J251" s="80"/>
      <c r="K251" s="80"/>
      <c r="L251" s="79"/>
      <c r="M251" s="81" t="s">
        <v>106882</v>
      </c>
      <c r="N251" s="82"/>
      <c r="O251" s="82"/>
      <c r="P251" s="83"/>
      <c r="Q251" s="83"/>
      <c r="R251" s="84">
        <f>+R252</f>
        <v>75000000</v>
      </c>
      <c r="S251" s="85"/>
      <c r="T251" s="85"/>
      <c r="U251" s="86"/>
    </row>
    <row r="252" spans="1:25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105528</v>
      </c>
      <c r="H252" s="80" t="s">
        <v>105675</v>
      </c>
      <c r="I252" s="80" t="s">
        <v>106211</v>
      </c>
      <c r="J252" s="80"/>
      <c r="K252" s="80"/>
      <c r="L252" s="79"/>
      <c r="M252" s="81" t="s">
        <v>113135</v>
      </c>
      <c r="N252" s="82"/>
      <c r="O252" s="82"/>
      <c r="P252" s="83"/>
      <c r="Q252" s="83"/>
      <c r="R252" s="84">
        <f>+R253</f>
        <v>75000000</v>
      </c>
      <c r="S252" s="85"/>
      <c r="T252" s="85"/>
      <c r="U252" s="86"/>
    </row>
    <row r="253" spans="1:25" ht="30" x14ac:dyDescent="0.2">
      <c r="A253" s="322"/>
      <c r="B253" s="190"/>
      <c r="C253" s="191"/>
      <c r="D253" s="191"/>
      <c r="E253" s="191"/>
      <c r="F253" s="191"/>
      <c r="G253" s="191"/>
      <c r="H253" s="191"/>
      <c r="I253" s="191"/>
      <c r="J253" s="192"/>
      <c r="K253" s="89" t="s">
        <v>112489</v>
      </c>
      <c r="L253" s="54"/>
      <c r="M253" s="101" t="s">
        <v>113136</v>
      </c>
      <c r="N253" s="92" t="s">
        <v>113030</v>
      </c>
      <c r="O253" s="92" t="s">
        <v>113030</v>
      </c>
      <c r="P253" s="92" t="s">
        <v>113030</v>
      </c>
      <c r="Q253" s="92" t="s">
        <v>113030</v>
      </c>
      <c r="R253" s="94">
        <v>75000000</v>
      </c>
      <c r="S253" s="95"/>
      <c r="T253" s="96"/>
      <c r="U253" s="97" t="s">
        <v>112999</v>
      </c>
    </row>
    <row r="254" spans="1:25" x14ac:dyDescent="0.2">
      <c r="A254" s="322"/>
      <c r="B254" s="166" t="s">
        <v>105516</v>
      </c>
      <c r="C254" s="166" t="s">
        <v>105924</v>
      </c>
      <c r="D254" s="166" t="s">
        <v>105520</v>
      </c>
      <c r="E254" s="166" t="s">
        <v>105573</v>
      </c>
      <c r="F254" s="166" t="s">
        <v>105550</v>
      </c>
      <c r="G254" s="166" t="s">
        <v>105535</v>
      </c>
      <c r="H254" s="166"/>
      <c r="I254" s="166"/>
      <c r="J254" s="166"/>
      <c r="K254" s="167"/>
      <c r="L254" s="167"/>
      <c r="M254" s="168" t="s">
        <v>106948</v>
      </c>
      <c r="N254" s="169"/>
      <c r="O254" s="169"/>
      <c r="P254" s="170"/>
      <c r="Q254" s="170"/>
      <c r="R254" s="171">
        <f>+R255</f>
        <v>124331200</v>
      </c>
      <c r="S254" s="172"/>
      <c r="T254" s="172"/>
      <c r="U254" s="173"/>
    </row>
    <row r="255" spans="1:25" x14ac:dyDescent="0.2">
      <c r="A255" s="322"/>
      <c r="B255" s="80" t="s">
        <v>105516</v>
      </c>
      <c r="C255" s="80" t="s">
        <v>105924</v>
      </c>
      <c r="D255" s="80" t="s">
        <v>105520</v>
      </c>
      <c r="E255" s="80" t="s">
        <v>105573</v>
      </c>
      <c r="F255" s="80" t="s">
        <v>105550</v>
      </c>
      <c r="G255" s="80" t="s">
        <v>105535</v>
      </c>
      <c r="H255" s="80" t="s">
        <v>105520</v>
      </c>
      <c r="I255" s="79"/>
      <c r="J255" s="79"/>
      <c r="K255" s="79"/>
      <c r="L255" s="79"/>
      <c r="M255" s="81" t="s">
        <v>106958</v>
      </c>
      <c r="N255" s="82"/>
      <c r="O255" s="82"/>
      <c r="P255" s="83"/>
      <c r="Q255" s="83"/>
      <c r="R255" s="84">
        <f>+R256</f>
        <v>124331200</v>
      </c>
      <c r="S255" s="85"/>
      <c r="T255" s="85"/>
      <c r="U255" s="100"/>
    </row>
    <row r="256" spans="1:25" ht="30" x14ac:dyDescent="0.2">
      <c r="A256" s="322"/>
      <c r="B256" s="80" t="s">
        <v>105516</v>
      </c>
      <c r="C256" s="80" t="s">
        <v>105924</v>
      </c>
      <c r="D256" s="80" t="s">
        <v>105520</v>
      </c>
      <c r="E256" s="80" t="s">
        <v>105573</v>
      </c>
      <c r="F256" s="80" t="s">
        <v>105550</v>
      </c>
      <c r="G256" s="80" t="s">
        <v>105535</v>
      </c>
      <c r="H256" s="79" t="s">
        <v>105520</v>
      </c>
      <c r="I256" s="79" t="s">
        <v>105576</v>
      </c>
      <c r="J256" s="79"/>
      <c r="K256" s="79"/>
      <c r="L256" s="79"/>
      <c r="M256" s="81" t="s">
        <v>106960</v>
      </c>
      <c r="N256" s="82"/>
      <c r="O256" s="82"/>
      <c r="P256" s="83"/>
      <c r="Q256" s="83"/>
      <c r="R256" s="84">
        <f>+R257</f>
        <v>124331200</v>
      </c>
      <c r="S256" s="85"/>
      <c r="T256" s="85"/>
      <c r="U256" s="100"/>
    </row>
    <row r="257" spans="1:21" x14ac:dyDescent="0.2">
      <c r="A257" s="322"/>
      <c r="B257" s="190"/>
      <c r="C257" s="191"/>
      <c r="D257" s="191"/>
      <c r="E257" s="191"/>
      <c r="F257" s="191"/>
      <c r="G257" s="191"/>
      <c r="H257" s="191"/>
      <c r="I257" s="191"/>
      <c r="J257" s="192"/>
      <c r="K257" s="89" t="s">
        <v>112528</v>
      </c>
      <c r="L257" s="54"/>
      <c r="M257" s="91" t="s">
        <v>113137</v>
      </c>
      <c r="N257" s="92">
        <v>45293</v>
      </c>
      <c r="O257" s="92" t="s">
        <v>113059</v>
      </c>
      <c r="P257" s="130" t="s">
        <v>113067</v>
      </c>
      <c r="Q257" s="92" t="s">
        <v>113030</v>
      </c>
      <c r="R257" s="94">
        <f>122931200+1400000</f>
        <v>124331200</v>
      </c>
      <c r="S257" s="95"/>
      <c r="T257" s="96"/>
      <c r="U257" s="97" t="s">
        <v>113063</v>
      </c>
    </row>
    <row r="258" spans="1:21" ht="30" x14ac:dyDescent="0.2">
      <c r="A258" s="322"/>
      <c r="B258" s="62" t="s">
        <v>105516</v>
      </c>
      <c r="C258" s="62" t="s">
        <v>105924</v>
      </c>
      <c r="D258" s="62" t="s">
        <v>105520</v>
      </c>
      <c r="E258" s="62" t="s">
        <v>105573</v>
      </c>
      <c r="F258" s="62" t="s">
        <v>105553</v>
      </c>
      <c r="G258" s="62"/>
      <c r="H258" s="62"/>
      <c r="I258" s="62"/>
      <c r="J258" s="62"/>
      <c r="K258" s="63"/>
      <c r="L258" s="64"/>
      <c r="M258" s="65" t="s">
        <v>106978</v>
      </c>
      <c r="N258" s="66"/>
      <c r="O258" s="66"/>
      <c r="P258" s="67"/>
      <c r="Q258" s="67"/>
      <c r="R258" s="68">
        <f>+R259+R268+R281</f>
        <v>2735132800</v>
      </c>
      <c r="S258" s="69"/>
      <c r="T258" s="69"/>
      <c r="U258" s="70"/>
    </row>
    <row r="259" spans="1:21" x14ac:dyDescent="0.2">
      <c r="A259" s="322"/>
      <c r="B259" s="166" t="s">
        <v>105516</v>
      </c>
      <c r="C259" s="166" t="s">
        <v>105924</v>
      </c>
      <c r="D259" s="166" t="s">
        <v>105520</v>
      </c>
      <c r="E259" s="166" t="s">
        <v>105573</v>
      </c>
      <c r="F259" s="166" t="s">
        <v>105553</v>
      </c>
      <c r="G259" s="166" t="s">
        <v>105538</v>
      </c>
      <c r="H259" s="166"/>
      <c r="I259" s="166"/>
      <c r="J259" s="166"/>
      <c r="K259" s="167"/>
      <c r="L259" s="167"/>
      <c r="M259" s="168" t="s">
        <v>106998</v>
      </c>
      <c r="N259" s="169"/>
      <c r="O259" s="169"/>
      <c r="P259" s="170"/>
      <c r="Q259" s="170"/>
      <c r="R259" s="171">
        <f>+R260</f>
        <v>171000000</v>
      </c>
      <c r="S259" s="172"/>
      <c r="T259" s="172"/>
      <c r="U259" s="173"/>
    </row>
    <row r="260" spans="1:21" ht="30" x14ac:dyDescent="0.2">
      <c r="A260" s="322"/>
      <c r="B260" s="79" t="s">
        <v>105516</v>
      </c>
      <c r="C260" s="79" t="s">
        <v>105924</v>
      </c>
      <c r="D260" s="79" t="s">
        <v>105520</v>
      </c>
      <c r="E260" s="79" t="s">
        <v>105573</v>
      </c>
      <c r="F260" s="79" t="s">
        <v>105553</v>
      </c>
      <c r="G260" s="79" t="s">
        <v>105538</v>
      </c>
      <c r="H260" s="79" t="s">
        <v>105520</v>
      </c>
      <c r="I260" s="79"/>
      <c r="J260" s="79"/>
      <c r="K260" s="79"/>
      <c r="L260" s="79"/>
      <c r="M260" s="81" t="s">
        <v>107000</v>
      </c>
      <c r="N260" s="82"/>
      <c r="O260" s="82"/>
      <c r="P260" s="83"/>
      <c r="Q260" s="83"/>
      <c r="R260" s="84">
        <f>+R261</f>
        <v>171000000</v>
      </c>
      <c r="S260" s="85"/>
      <c r="T260" s="85"/>
      <c r="U260" s="100"/>
    </row>
    <row r="261" spans="1:21" ht="30" x14ac:dyDescent="0.2">
      <c r="A261" s="322"/>
      <c r="B261" s="79" t="s">
        <v>105516</v>
      </c>
      <c r="C261" s="79" t="s">
        <v>105924</v>
      </c>
      <c r="D261" s="79" t="s">
        <v>105520</v>
      </c>
      <c r="E261" s="79" t="s">
        <v>105573</v>
      </c>
      <c r="F261" s="79" t="s">
        <v>105553</v>
      </c>
      <c r="G261" s="79" t="s">
        <v>105538</v>
      </c>
      <c r="H261" s="79" t="s">
        <v>105520</v>
      </c>
      <c r="I261" s="79" t="s">
        <v>105576</v>
      </c>
      <c r="J261" s="79"/>
      <c r="K261" s="79"/>
      <c r="L261" s="79"/>
      <c r="M261" s="81" t="s">
        <v>107002</v>
      </c>
      <c r="N261" s="82"/>
      <c r="O261" s="82"/>
      <c r="P261" s="83"/>
      <c r="Q261" s="83"/>
      <c r="R261" s="84">
        <f>SUM(R262:R267)</f>
        <v>171000000</v>
      </c>
      <c r="S261" s="85"/>
      <c r="T261" s="85"/>
      <c r="U261" s="100"/>
    </row>
    <row r="262" spans="1:21" ht="60" x14ac:dyDescent="0.2">
      <c r="A262" s="322"/>
      <c r="B262" s="87"/>
      <c r="C262" s="88"/>
      <c r="D262" s="88"/>
      <c r="E262" s="88"/>
      <c r="F262" s="88"/>
      <c r="G262" s="88"/>
      <c r="H262" s="88"/>
      <c r="I262" s="88"/>
      <c r="J262" s="89"/>
      <c r="K262" s="89" t="s">
        <v>112567</v>
      </c>
      <c r="L262" s="90" t="s">
        <v>113230</v>
      </c>
      <c r="M262" s="101" t="s">
        <v>113231</v>
      </c>
      <c r="N262" s="92">
        <v>45536</v>
      </c>
      <c r="O262" s="92" t="s">
        <v>113077</v>
      </c>
      <c r="P262" s="93" t="s">
        <v>113006</v>
      </c>
      <c r="Q262" s="93" t="s">
        <v>113110</v>
      </c>
      <c r="R262" s="94">
        <v>35000000</v>
      </c>
      <c r="S262" s="95"/>
      <c r="T262" s="96"/>
      <c r="U262" s="97" t="s">
        <v>113018</v>
      </c>
    </row>
    <row r="263" spans="1:21" ht="7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90">
        <v>80101500</v>
      </c>
      <c r="M263" s="91" t="s">
        <v>113139</v>
      </c>
      <c r="N263" s="92">
        <v>45323</v>
      </c>
      <c r="O263" s="92" t="s">
        <v>113036</v>
      </c>
      <c r="P263" s="93" t="s">
        <v>113010</v>
      </c>
      <c r="Q263" s="130" t="s">
        <v>113070</v>
      </c>
      <c r="R263" s="94">
        <v>35200000</v>
      </c>
      <c r="S263" s="95"/>
      <c r="T263" s="96"/>
      <c r="U263" s="97" t="s">
        <v>113018</v>
      </c>
    </row>
    <row r="264" spans="1:21" ht="30" x14ac:dyDescent="0.2">
      <c r="A264" s="322"/>
      <c r="B264" s="135"/>
      <c r="C264" s="136"/>
      <c r="D264" s="136"/>
      <c r="E264" s="136"/>
      <c r="F264" s="136"/>
      <c r="G264" s="136"/>
      <c r="H264" s="136"/>
      <c r="I264" s="136"/>
      <c r="J264" s="137"/>
      <c r="K264" s="137"/>
      <c r="L264" s="90">
        <v>80161500</v>
      </c>
      <c r="M264" s="91" t="s">
        <v>113312</v>
      </c>
      <c r="N264" s="92">
        <v>45384</v>
      </c>
      <c r="O264" s="92" t="s">
        <v>113005</v>
      </c>
      <c r="P264" s="93" t="s">
        <v>113144</v>
      </c>
      <c r="Q264" s="130" t="s">
        <v>113052</v>
      </c>
      <c r="R264" s="94">
        <v>20500000</v>
      </c>
      <c r="S264" s="95"/>
      <c r="T264" s="96"/>
      <c r="U264" s="97"/>
    </row>
    <row r="265" spans="1:21" ht="45" x14ac:dyDescent="0.2">
      <c r="A265" s="322"/>
      <c r="B265" s="135"/>
      <c r="C265" s="136"/>
      <c r="D265" s="136"/>
      <c r="E265" s="136"/>
      <c r="F265" s="136"/>
      <c r="G265" s="136"/>
      <c r="H265" s="136"/>
      <c r="I265" s="136"/>
      <c r="J265" s="137"/>
      <c r="K265" s="137" t="s">
        <v>112567</v>
      </c>
      <c r="L265" s="54">
        <v>80101500</v>
      </c>
      <c r="M265" s="101" t="s">
        <v>113140</v>
      </c>
      <c r="N265" s="92">
        <v>45323</v>
      </c>
      <c r="O265" s="92" t="s">
        <v>113036</v>
      </c>
      <c r="P265" s="93" t="s">
        <v>113010</v>
      </c>
      <c r="Q265" s="93" t="s">
        <v>113070</v>
      </c>
      <c r="R265" s="94">
        <v>35200000</v>
      </c>
      <c r="S265" s="95"/>
      <c r="T265" s="96"/>
      <c r="U265" s="97" t="s">
        <v>113018</v>
      </c>
    </row>
    <row r="266" spans="1:21" ht="45" x14ac:dyDescent="0.2">
      <c r="A266" s="322"/>
      <c r="B266" s="135"/>
      <c r="C266" s="136"/>
      <c r="D266" s="136"/>
      <c r="E266" s="136"/>
      <c r="F266" s="136"/>
      <c r="G266" s="136"/>
      <c r="H266" s="136"/>
      <c r="I266" s="136"/>
      <c r="J266" s="137"/>
      <c r="K266" s="137" t="s">
        <v>112567</v>
      </c>
      <c r="L266" s="54">
        <v>80101500</v>
      </c>
      <c r="M266" s="101" t="s">
        <v>113232</v>
      </c>
      <c r="N266" s="92">
        <v>45323</v>
      </c>
      <c r="O266" s="92" t="s">
        <v>113036</v>
      </c>
      <c r="P266" s="93" t="s">
        <v>113010</v>
      </c>
      <c r="Q266" s="93" t="s">
        <v>113070</v>
      </c>
      <c r="R266" s="94">
        <v>0</v>
      </c>
      <c r="S266" s="95"/>
      <c r="T266" s="96"/>
      <c r="U266" s="97" t="s">
        <v>113018</v>
      </c>
    </row>
    <row r="267" spans="1:21" s="199" customFormat="1" ht="30" x14ac:dyDescent="0.2">
      <c r="A267" s="327"/>
      <c r="B267" s="193"/>
      <c r="C267" s="194"/>
      <c r="D267" s="194"/>
      <c r="E267" s="194"/>
      <c r="F267" s="194"/>
      <c r="G267" s="194"/>
      <c r="H267" s="194"/>
      <c r="I267" s="194"/>
      <c r="J267" s="195"/>
      <c r="K267" s="195" t="s">
        <v>112567</v>
      </c>
      <c r="L267" s="177">
        <v>80161500</v>
      </c>
      <c r="M267" s="101" t="s">
        <v>113138</v>
      </c>
      <c r="N267" s="92">
        <v>45301</v>
      </c>
      <c r="O267" s="92" t="s">
        <v>113059</v>
      </c>
      <c r="P267" s="93" t="s">
        <v>113178</v>
      </c>
      <c r="Q267" s="93" t="s">
        <v>113052</v>
      </c>
      <c r="R267" s="94">
        <v>45100000</v>
      </c>
      <c r="S267" s="196"/>
      <c r="T267" s="197"/>
      <c r="U267" s="198" t="s">
        <v>112999</v>
      </c>
    </row>
    <row r="268" spans="1:21" x14ac:dyDescent="0.2">
      <c r="A268" s="322"/>
      <c r="B268" s="166" t="s">
        <v>105516</v>
      </c>
      <c r="C268" s="166" t="s">
        <v>105924</v>
      </c>
      <c r="D268" s="166" t="s">
        <v>105520</v>
      </c>
      <c r="E268" s="166" t="s">
        <v>105573</v>
      </c>
      <c r="F268" s="166" t="s">
        <v>105553</v>
      </c>
      <c r="G268" s="166" t="s">
        <v>105544</v>
      </c>
      <c r="H268" s="166"/>
      <c r="I268" s="166"/>
      <c r="J268" s="166"/>
      <c r="K268" s="167"/>
      <c r="L268" s="167"/>
      <c r="M268" s="168" t="s">
        <v>107054</v>
      </c>
      <c r="N268" s="169"/>
      <c r="O268" s="169"/>
      <c r="P268" s="170"/>
      <c r="Q268" s="170"/>
      <c r="R268" s="171">
        <f>SUM(R269+R272)</f>
        <v>2447676000</v>
      </c>
      <c r="S268" s="172"/>
      <c r="T268" s="172"/>
      <c r="U268" s="173"/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105573</v>
      </c>
      <c r="I269" s="79"/>
      <c r="J269" s="79"/>
      <c r="K269" s="79"/>
      <c r="L269" s="79"/>
      <c r="M269" s="81" t="s">
        <v>113141</v>
      </c>
      <c r="N269" s="82"/>
      <c r="O269" s="82"/>
      <c r="P269" s="83"/>
      <c r="Q269" s="83"/>
      <c r="R269" s="84">
        <f>SUM(R270:R271)</f>
        <v>330912042.60000002</v>
      </c>
      <c r="S269" s="85"/>
      <c r="T269" s="85"/>
      <c r="U269" s="100"/>
    </row>
    <row r="270" spans="1:21" ht="45" x14ac:dyDescent="0.2">
      <c r="A270" s="322"/>
      <c r="B270" s="87"/>
      <c r="C270" s="88"/>
      <c r="D270" s="88"/>
      <c r="E270" s="88"/>
      <c r="F270" s="88"/>
      <c r="G270" s="88"/>
      <c r="H270" s="88"/>
      <c r="I270" s="88"/>
      <c r="J270" s="89"/>
      <c r="K270" s="89"/>
      <c r="L270" s="200">
        <v>92121500</v>
      </c>
      <c r="M270" s="91" t="s">
        <v>113243</v>
      </c>
      <c r="N270" s="92">
        <v>45397</v>
      </c>
      <c r="O270" s="92" t="s">
        <v>113086</v>
      </c>
      <c r="P270" s="93" t="s">
        <v>113067</v>
      </c>
      <c r="Q270" s="93" t="s">
        <v>113095</v>
      </c>
      <c r="R270" s="94">
        <v>166380000</v>
      </c>
      <c r="S270" s="201" t="s">
        <v>105533</v>
      </c>
      <c r="T270" s="313">
        <v>164940000</v>
      </c>
      <c r="U270" s="182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/>
      <c r="L271" s="200">
        <v>92121500</v>
      </c>
      <c r="M271" s="129" t="s">
        <v>113271</v>
      </c>
      <c r="N271" s="92"/>
      <c r="O271" s="92"/>
      <c r="P271" s="130"/>
      <c r="Q271" s="93"/>
      <c r="R271" s="94">
        <v>164532042.59999999</v>
      </c>
      <c r="S271" s="182"/>
      <c r="T271" s="202"/>
      <c r="U271" s="97" t="s">
        <v>112999</v>
      </c>
    </row>
    <row r="272" spans="1:21" x14ac:dyDescent="0.2">
      <c r="A272" s="322"/>
      <c r="B272" s="79" t="s">
        <v>105516</v>
      </c>
      <c r="C272" s="79" t="s">
        <v>105924</v>
      </c>
      <c r="D272" s="79" t="s">
        <v>105520</v>
      </c>
      <c r="E272" s="79" t="s">
        <v>105573</v>
      </c>
      <c r="F272" s="79" t="s">
        <v>105553</v>
      </c>
      <c r="G272" s="79" t="s">
        <v>105544</v>
      </c>
      <c r="H272" s="79" t="s">
        <v>105675</v>
      </c>
      <c r="I272" s="79"/>
      <c r="J272" s="79"/>
      <c r="K272" s="79"/>
      <c r="L272" s="79"/>
      <c r="M272" s="81" t="s">
        <v>107060</v>
      </c>
      <c r="N272" s="82"/>
      <c r="O272" s="82" t="s">
        <v>112994</v>
      </c>
      <c r="P272" s="83"/>
      <c r="Q272" s="83"/>
      <c r="R272" s="84">
        <f>SUM(R273:R280)</f>
        <v>2116763957.4000001</v>
      </c>
      <c r="S272" s="85"/>
      <c r="T272" s="85"/>
      <c r="U272" s="100"/>
    </row>
    <row r="273" spans="1:21" ht="30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113244</v>
      </c>
      <c r="N273" s="92"/>
      <c r="O273" s="92"/>
      <c r="P273" s="130"/>
      <c r="Q273" s="93"/>
      <c r="R273" s="94">
        <f>560000000+6361000+7703000</f>
        <v>574064000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113245</v>
      </c>
      <c r="N274" s="92"/>
      <c r="O274" s="92"/>
      <c r="P274" s="130"/>
      <c r="Q274" s="93"/>
      <c r="R274" s="94">
        <f>40450000+55319000</f>
        <v>95769000</v>
      </c>
      <c r="S274" s="95"/>
      <c r="T274" s="202"/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113246</v>
      </c>
      <c r="N275" s="92">
        <v>45381</v>
      </c>
      <c r="O275" s="92" t="s">
        <v>113005</v>
      </c>
      <c r="P275" s="130" t="s">
        <v>113044</v>
      </c>
      <c r="Q275" s="93" t="s">
        <v>113040</v>
      </c>
      <c r="R275" s="94">
        <f>840000000-6361000-55319000</f>
        <v>778320000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76111500</v>
      </c>
      <c r="M276" s="91" t="s">
        <v>113247</v>
      </c>
      <c r="N276" s="92">
        <v>45381</v>
      </c>
      <c r="O276" s="92" t="s">
        <v>113005</v>
      </c>
      <c r="P276" s="130" t="s">
        <v>113044</v>
      </c>
      <c r="Q276" s="93" t="s">
        <v>113040</v>
      </c>
      <c r="R276" s="94">
        <f>71872000+55000000+15134000+1847957.4</f>
        <v>143853957.40000001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76111500</v>
      </c>
      <c r="M277" s="91" t="s">
        <v>113248</v>
      </c>
      <c r="N277" s="92">
        <v>45427</v>
      </c>
      <c r="O277" s="92" t="s">
        <v>113184</v>
      </c>
      <c r="P277" s="130" t="s">
        <v>113067</v>
      </c>
      <c r="Q277" s="93" t="s">
        <v>113040</v>
      </c>
      <c r="R277" s="94">
        <f>280000000+7032000</f>
        <v>287032000</v>
      </c>
      <c r="S277" s="95" t="s">
        <v>105533</v>
      </c>
      <c r="T277" s="314">
        <v>912780000</v>
      </c>
      <c r="U277" s="97" t="s">
        <v>112999</v>
      </c>
    </row>
    <row r="278" spans="1:21" ht="45" x14ac:dyDescent="0.2">
      <c r="A278" s="322"/>
      <c r="B278" s="135"/>
      <c r="C278" s="136"/>
      <c r="D278" s="136"/>
      <c r="E278" s="136"/>
      <c r="F278" s="136"/>
      <c r="G278" s="136"/>
      <c r="H278" s="136"/>
      <c r="I278" s="136"/>
      <c r="J278" s="137"/>
      <c r="K278" s="137" t="s">
        <v>112595</v>
      </c>
      <c r="L278" s="54">
        <v>76111500</v>
      </c>
      <c r="M278" s="91" t="s">
        <v>113249</v>
      </c>
      <c r="N278" s="92">
        <v>45427</v>
      </c>
      <c r="O278" s="92" t="s">
        <v>113184</v>
      </c>
      <c r="P278" s="130" t="s">
        <v>113067</v>
      </c>
      <c r="Q278" s="93" t="s">
        <v>113040</v>
      </c>
      <c r="R278" s="94">
        <f>22460000+30394000</f>
        <v>52854000</v>
      </c>
      <c r="S278" s="95" t="s">
        <v>105533</v>
      </c>
      <c r="T278" s="314">
        <v>168180000</v>
      </c>
      <c r="U278" s="97" t="s">
        <v>112999</v>
      </c>
    </row>
    <row r="279" spans="1:21" ht="30" x14ac:dyDescent="0.2">
      <c r="A279" s="322"/>
      <c r="B279" s="135"/>
      <c r="C279" s="136"/>
      <c r="D279" s="136"/>
      <c r="E279" s="136"/>
      <c r="F279" s="136"/>
      <c r="G279" s="136"/>
      <c r="H279" s="136"/>
      <c r="I279" s="136"/>
      <c r="J279" s="137"/>
      <c r="K279" s="137" t="s">
        <v>112595</v>
      </c>
      <c r="L279" s="90" t="s">
        <v>113142</v>
      </c>
      <c r="M279" s="91" t="s">
        <v>113143</v>
      </c>
      <c r="N279" s="92">
        <v>45413</v>
      </c>
      <c r="O279" s="92" t="s">
        <v>113184</v>
      </c>
      <c r="P279" s="130" t="s">
        <v>113144</v>
      </c>
      <c r="Q279" s="93" t="s">
        <v>113095</v>
      </c>
      <c r="R279" s="94">
        <f>80000000-7703000-7032000-30394000</f>
        <v>34871000</v>
      </c>
      <c r="S279" s="95"/>
      <c r="T279" s="202"/>
      <c r="U279" s="97" t="s">
        <v>112999</v>
      </c>
    </row>
    <row r="280" spans="1:21" ht="45" x14ac:dyDescent="0.2">
      <c r="A280" s="322"/>
      <c r="B280" s="135"/>
      <c r="C280" s="136"/>
      <c r="D280" s="136"/>
      <c r="E280" s="136"/>
      <c r="F280" s="136"/>
      <c r="G280" s="136"/>
      <c r="H280" s="136"/>
      <c r="I280" s="136"/>
      <c r="J280" s="137"/>
      <c r="K280" s="137" t="s">
        <v>112595</v>
      </c>
      <c r="L280" s="54">
        <v>72102100</v>
      </c>
      <c r="M280" s="91" t="s">
        <v>113145</v>
      </c>
      <c r="N280" s="92">
        <v>45413</v>
      </c>
      <c r="O280" s="92" t="s">
        <v>113184</v>
      </c>
      <c r="P280" s="93" t="s">
        <v>113144</v>
      </c>
      <c r="Q280" s="93" t="s">
        <v>113095</v>
      </c>
      <c r="R280" s="94">
        <v>150000000</v>
      </c>
      <c r="S280" s="95"/>
      <c r="T280" s="202"/>
      <c r="U280" s="97" t="s">
        <v>112999</v>
      </c>
    </row>
    <row r="281" spans="1:21" ht="30" x14ac:dyDescent="0.2">
      <c r="A281" s="322"/>
      <c r="B281" s="166" t="s">
        <v>105516</v>
      </c>
      <c r="C281" s="166" t="s">
        <v>105924</v>
      </c>
      <c r="D281" s="166" t="s">
        <v>105520</v>
      </c>
      <c r="E281" s="166" t="s">
        <v>105573</v>
      </c>
      <c r="F281" s="166" t="s">
        <v>105553</v>
      </c>
      <c r="G281" s="166" t="s">
        <v>105550</v>
      </c>
      <c r="H281" s="166"/>
      <c r="I281" s="166"/>
      <c r="J281" s="166"/>
      <c r="K281" s="167"/>
      <c r="L281" s="167"/>
      <c r="M281" s="168" t="s">
        <v>107092</v>
      </c>
      <c r="N281" s="169"/>
      <c r="O281" s="169" t="s">
        <v>112994</v>
      </c>
      <c r="P281" s="170"/>
      <c r="Q281" s="170"/>
      <c r="R281" s="171">
        <f>+R282</f>
        <v>116456800</v>
      </c>
      <c r="S281" s="172"/>
      <c r="T281" s="172"/>
      <c r="U281" s="173"/>
    </row>
    <row r="282" spans="1:21" ht="30" x14ac:dyDescent="0.2">
      <c r="A282" s="322"/>
      <c r="B282" s="79" t="s">
        <v>105516</v>
      </c>
      <c r="C282" s="79" t="s">
        <v>105924</v>
      </c>
      <c r="D282" s="79" t="s">
        <v>105520</v>
      </c>
      <c r="E282" s="79" t="s">
        <v>105573</v>
      </c>
      <c r="F282" s="79" t="s">
        <v>105553</v>
      </c>
      <c r="G282" s="79" t="s">
        <v>105550</v>
      </c>
      <c r="H282" s="79" t="s">
        <v>105520</v>
      </c>
      <c r="I282" s="79"/>
      <c r="J282" s="79"/>
      <c r="K282" s="79"/>
      <c r="L282" s="79"/>
      <c r="M282" s="81" t="s">
        <v>107094</v>
      </c>
      <c r="N282" s="82"/>
      <c r="O282" s="82" t="s">
        <v>112994</v>
      </c>
      <c r="P282" s="83"/>
      <c r="Q282" s="83"/>
      <c r="R282" s="84">
        <f>+R283</f>
        <v>116456800</v>
      </c>
      <c r="S282" s="85"/>
      <c r="T282" s="85"/>
      <c r="U282" s="100"/>
    </row>
    <row r="283" spans="1:21" ht="30" x14ac:dyDescent="0.2">
      <c r="A283" s="322"/>
      <c r="B283" s="79" t="s">
        <v>105516</v>
      </c>
      <c r="C283" s="79" t="s">
        <v>105924</v>
      </c>
      <c r="D283" s="79" t="s">
        <v>105520</v>
      </c>
      <c r="E283" s="79" t="s">
        <v>105573</v>
      </c>
      <c r="F283" s="79" t="s">
        <v>105553</v>
      </c>
      <c r="G283" s="79" t="s">
        <v>105550</v>
      </c>
      <c r="H283" s="79" t="s">
        <v>105520</v>
      </c>
      <c r="I283" s="79" t="s">
        <v>106217</v>
      </c>
      <c r="J283" s="79"/>
      <c r="K283" s="79"/>
      <c r="L283" s="79"/>
      <c r="M283" s="81" t="s">
        <v>107104</v>
      </c>
      <c r="N283" s="82"/>
      <c r="O283" s="82" t="s">
        <v>112994</v>
      </c>
      <c r="P283" s="83"/>
      <c r="Q283" s="83"/>
      <c r="R283" s="84">
        <f>SUM(R284:R285)</f>
        <v>116456800</v>
      </c>
      <c r="S283" s="85"/>
      <c r="T283" s="85"/>
      <c r="U283" s="100"/>
    </row>
    <row r="284" spans="1:21" ht="45" x14ac:dyDescent="0.2">
      <c r="A284" s="322"/>
      <c r="B284" s="87"/>
      <c r="C284" s="88"/>
      <c r="D284" s="88"/>
      <c r="E284" s="88"/>
      <c r="F284" s="88"/>
      <c r="G284" s="88"/>
      <c r="H284" s="88"/>
      <c r="I284" s="88"/>
      <c r="J284" s="89"/>
      <c r="K284" s="89" t="s">
        <v>112614</v>
      </c>
      <c r="L284" s="90" t="s">
        <v>113224</v>
      </c>
      <c r="M284" s="91" t="s">
        <v>113147</v>
      </c>
      <c r="N284" s="92">
        <v>45425</v>
      </c>
      <c r="O284" s="92" t="s">
        <v>113086</v>
      </c>
      <c r="P284" s="93" t="s">
        <v>113027</v>
      </c>
      <c r="Q284" s="93" t="s">
        <v>113037</v>
      </c>
      <c r="R284" s="94">
        <v>116456800</v>
      </c>
      <c r="S284" s="95"/>
      <c r="T284" s="96"/>
      <c r="U284" s="97" t="s">
        <v>113018</v>
      </c>
    </row>
    <row r="285" spans="1:21" ht="45" x14ac:dyDescent="0.2">
      <c r="A285" s="322"/>
      <c r="B285" s="135"/>
      <c r="C285" s="136"/>
      <c r="D285" s="136"/>
      <c r="E285" s="136"/>
      <c r="F285" s="136"/>
      <c r="G285" s="136"/>
      <c r="H285" s="136"/>
      <c r="I285" s="136"/>
      <c r="J285" s="136"/>
      <c r="K285" s="136" t="s">
        <v>112614</v>
      </c>
      <c r="L285" s="203">
        <v>73152100</v>
      </c>
      <c r="M285" s="119" t="s">
        <v>113146</v>
      </c>
      <c r="N285" s="120">
        <v>45444</v>
      </c>
      <c r="O285" s="92" t="s">
        <v>113009</v>
      </c>
      <c r="P285" s="93" t="s">
        <v>113006</v>
      </c>
      <c r="Q285" s="130" t="s">
        <v>112998</v>
      </c>
      <c r="R285" s="94">
        <f>55000000-55000000</f>
        <v>0</v>
      </c>
      <c r="S285" s="95"/>
      <c r="T285" s="96"/>
      <c r="U285" s="97" t="s">
        <v>112999</v>
      </c>
    </row>
    <row r="286" spans="1:21" ht="45" x14ac:dyDescent="0.2">
      <c r="A286" s="322"/>
      <c r="B286" s="62" t="s">
        <v>105516</v>
      </c>
      <c r="C286" s="62" t="s">
        <v>105924</v>
      </c>
      <c r="D286" s="62" t="s">
        <v>105520</v>
      </c>
      <c r="E286" s="62" t="s">
        <v>105573</v>
      </c>
      <c r="F286" s="62" t="s">
        <v>105556</v>
      </c>
      <c r="G286" s="62"/>
      <c r="H286" s="62"/>
      <c r="I286" s="62"/>
      <c r="J286" s="62"/>
      <c r="K286" s="63"/>
      <c r="L286" s="64"/>
      <c r="M286" s="65" t="s">
        <v>107192</v>
      </c>
      <c r="N286" s="66"/>
      <c r="O286" s="66"/>
      <c r="P286" s="67"/>
      <c r="Q286" s="67"/>
      <c r="R286" s="68">
        <f>+R287</f>
        <v>4866000</v>
      </c>
      <c r="S286" s="69"/>
      <c r="T286" s="69"/>
      <c r="U286" s="70"/>
    </row>
    <row r="287" spans="1:21" ht="28.5" customHeight="1" x14ac:dyDescent="0.2">
      <c r="A287" s="322"/>
      <c r="B287" s="166" t="s">
        <v>105516</v>
      </c>
      <c r="C287" s="166" t="s">
        <v>105924</v>
      </c>
      <c r="D287" s="166" t="s">
        <v>105520</v>
      </c>
      <c r="E287" s="166" t="s">
        <v>105573</v>
      </c>
      <c r="F287" s="187" t="s">
        <v>105556</v>
      </c>
      <c r="G287" s="187" t="s">
        <v>105541</v>
      </c>
      <c r="H287" s="166"/>
      <c r="I287" s="166"/>
      <c r="J287" s="166"/>
      <c r="K287" s="167"/>
      <c r="L287" s="167"/>
      <c r="M287" s="168" t="s">
        <v>107192</v>
      </c>
      <c r="N287" s="169"/>
      <c r="O287" s="169"/>
      <c r="P287" s="170"/>
      <c r="Q287" s="170"/>
      <c r="R287" s="171">
        <f>+R288</f>
        <v>4866000</v>
      </c>
      <c r="S287" s="172"/>
      <c r="T287" s="172"/>
      <c r="U287" s="173"/>
    </row>
    <row r="288" spans="1:21" ht="28.5" customHeight="1" x14ac:dyDescent="0.2">
      <c r="A288" s="322"/>
      <c r="B288" s="79" t="s">
        <v>105516</v>
      </c>
      <c r="C288" s="79" t="s">
        <v>105924</v>
      </c>
      <c r="D288" s="79" t="s">
        <v>105520</v>
      </c>
      <c r="E288" s="79" t="s">
        <v>105573</v>
      </c>
      <c r="F288" s="80" t="s">
        <v>105556</v>
      </c>
      <c r="G288" s="80" t="s">
        <v>105541</v>
      </c>
      <c r="H288" s="80" t="s">
        <v>106109</v>
      </c>
      <c r="I288" s="79"/>
      <c r="J288" s="79"/>
      <c r="K288" s="79"/>
      <c r="L288" s="79"/>
      <c r="M288" s="81" t="s">
        <v>107204</v>
      </c>
      <c r="N288" s="82"/>
      <c r="O288" s="82"/>
      <c r="P288" s="83"/>
      <c r="Q288" s="83"/>
      <c r="R288" s="84">
        <f>+R289</f>
        <v>4866000</v>
      </c>
      <c r="S288" s="85"/>
      <c r="T288" s="85"/>
      <c r="U288" s="100"/>
    </row>
    <row r="289" spans="1:21" ht="45" x14ac:dyDescent="0.2">
      <c r="A289" s="322"/>
      <c r="B289" s="87"/>
      <c r="C289" s="88"/>
      <c r="D289" s="88"/>
      <c r="E289" s="88"/>
      <c r="F289" s="88"/>
      <c r="G289" s="88"/>
      <c r="H289" s="88"/>
      <c r="I289" s="88"/>
      <c r="J289" s="89"/>
      <c r="K289" s="89"/>
      <c r="L289" s="90" t="s">
        <v>113250</v>
      </c>
      <c r="M289" s="91" t="s">
        <v>113251</v>
      </c>
      <c r="N289" s="92">
        <v>45444</v>
      </c>
      <c r="O289" s="92" t="s">
        <v>113009</v>
      </c>
      <c r="P289" s="93" t="s">
        <v>113006</v>
      </c>
      <c r="Q289" s="93" t="s">
        <v>113051</v>
      </c>
      <c r="R289" s="94">
        <f>20000000-15134000</f>
        <v>4866000</v>
      </c>
      <c r="S289" s="95"/>
      <c r="T289" s="96"/>
      <c r="U289" s="97" t="s">
        <v>112999</v>
      </c>
    </row>
    <row r="290" spans="1:21" ht="15.75" x14ac:dyDescent="0.2">
      <c r="A290" s="322"/>
      <c r="B290" s="204" t="s">
        <v>105516</v>
      </c>
      <c r="C290" s="204" t="s">
        <v>106103</v>
      </c>
      <c r="D290" s="204"/>
      <c r="E290" s="204"/>
      <c r="F290" s="204"/>
      <c r="G290" s="204"/>
      <c r="H290" s="204"/>
      <c r="I290" s="204"/>
      <c r="J290" s="204"/>
      <c r="K290" s="205"/>
      <c r="L290" s="206"/>
      <c r="M290" s="207" t="s">
        <v>112750</v>
      </c>
      <c r="N290" s="208"/>
      <c r="O290" s="208" t="s">
        <v>112994</v>
      </c>
      <c r="P290" s="209"/>
      <c r="Q290" s="209"/>
      <c r="R290" s="210">
        <f>SUM(R291+R293)</f>
        <v>5718000000</v>
      </c>
      <c r="S290" s="211"/>
      <c r="T290" s="211"/>
      <c r="U290" s="212"/>
    </row>
    <row r="291" spans="1:21" ht="15.75" x14ac:dyDescent="0.2">
      <c r="A291" s="322"/>
      <c r="B291" s="213" t="s">
        <v>105516</v>
      </c>
      <c r="C291" s="213" t="s">
        <v>106103</v>
      </c>
      <c r="D291" s="213" t="s">
        <v>105520</v>
      </c>
      <c r="E291" s="213"/>
      <c r="F291" s="213"/>
      <c r="G291" s="213"/>
      <c r="H291" s="213"/>
      <c r="I291" s="213"/>
      <c r="J291" s="213"/>
      <c r="K291" s="214"/>
      <c r="L291" s="214"/>
      <c r="M291" s="215" t="s">
        <v>112752</v>
      </c>
      <c r="N291" s="216"/>
      <c r="O291" s="216" t="s">
        <v>112994</v>
      </c>
      <c r="P291" s="217"/>
      <c r="Q291" s="217"/>
      <c r="R291" s="218">
        <f>+R292</f>
        <v>118000000</v>
      </c>
      <c r="S291" s="219"/>
      <c r="T291" s="219"/>
      <c r="U291" s="220"/>
    </row>
    <row r="292" spans="1:21" ht="15.75" x14ac:dyDescent="0.2">
      <c r="A292" s="322"/>
      <c r="B292" s="221"/>
      <c r="C292" s="222"/>
      <c r="D292" s="222"/>
      <c r="E292" s="222"/>
      <c r="F292" s="222"/>
      <c r="G292" s="222"/>
      <c r="H292" s="222"/>
      <c r="I292" s="222"/>
      <c r="J292" s="223"/>
      <c r="K292" s="89" t="s">
        <v>112751</v>
      </c>
      <c r="L292" s="224"/>
      <c r="M292" s="101" t="s">
        <v>112752</v>
      </c>
      <c r="N292" s="93"/>
      <c r="O292" s="93"/>
      <c r="P292" s="93"/>
      <c r="Q292" s="93"/>
      <c r="R292" s="94">
        <v>118000000</v>
      </c>
      <c r="S292" s="95"/>
      <c r="T292" s="197"/>
      <c r="U292" s="198" t="s">
        <v>113011</v>
      </c>
    </row>
    <row r="293" spans="1:21" ht="15.75" x14ac:dyDescent="0.2">
      <c r="A293" s="322"/>
      <c r="B293" s="213" t="s">
        <v>105516</v>
      </c>
      <c r="C293" s="213" t="s">
        <v>106103</v>
      </c>
      <c r="D293" s="213" t="s">
        <v>105675</v>
      </c>
      <c r="E293" s="213"/>
      <c r="F293" s="213"/>
      <c r="G293" s="213"/>
      <c r="H293" s="213"/>
      <c r="I293" s="213"/>
      <c r="J293" s="213"/>
      <c r="K293" s="214"/>
      <c r="L293" s="214"/>
      <c r="M293" s="215" t="s">
        <v>112762</v>
      </c>
      <c r="N293" s="216"/>
      <c r="O293" s="216" t="s">
        <v>112994</v>
      </c>
      <c r="P293" s="217"/>
      <c r="Q293" s="217"/>
      <c r="R293" s="218">
        <f>+R294</f>
        <v>5600000000</v>
      </c>
      <c r="S293" s="219"/>
      <c r="T293" s="219"/>
      <c r="U293" s="220"/>
    </row>
    <row r="294" spans="1:21" ht="15.75" x14ac:dyDescent="0.2">
      <c r="A294" s="322"/>
      <c r="B294" s="221"/>
      <c r="C294" s="222"/>
      <c r="D294" s="222"/>
      <c r="E294" s="222"/>
      <c r="F294" s="222"/>
      <c r="G294" s="222"/>
      <c r="H294" s="222"/>
      <c r="I294" s="222"/>
      <c r="J294" s="223"/>
      <c r="K294" s="89" t="s">
        <v>112761</v>
      </c>
      <c r="L294" s="224"/>
      <c r="M294" s="101" t="s">
        <v>113148</v>
      </c>
      <c r="N294" s="93"/>
      <c r="O294" s="93" t="s">
        <v>113030</v>
      </c>
      <c r="P294" s="93"/>
      <c r="Q294" s="93"/>
      <c r="R294" s="94">
        <v>5600000000</v>
      </c>
      <c r="S294" s="95"/>
      <c r="T294" s="197"/>
      <c r="U294" s="198" t="s">
        <v>113063</v>
      </c>
    </row>
    <row r="295" spans="1:21" ht="15.75" x14ac:dyDescent="0.2">
      <c r="A295" s="322"/>
      <c r="B295" s="225" t="s">
        <v>105516</v>
      </c>
      <c r="C295" s="225" t="s">
        <v>106106</v>
      </c>
      <c r="D295" s="225"/>
      <c r="E295" s="225"/>
      <c r="F295" s="225"/>
      <c r="G295" s="225"/>
      <c r="H295" s="225"/>
      <c r="I295" s="225"/>
      <c r="J295" s="225"/>
      <c r="K295" s="226"/>
      <c r="L295" s="227"/>
      <c r="M295" s="228" t="s">
        <v>112766</v>
      </c>
      <c r="N295" s="229"/>
      <c r="O295" s="229" t="s">
        <v>112994</v>
      </c>
      <c r="P295" s="230"/>
      <c r="Q295" s="230"/>
      <c r="R295" s="231">
        <f>SUM(R296+R304+R307)</f>
        <v>4192000000</v>
      </c>
      <c r="S295" s="232"/>
      <c r="T295" s="232"/>
      <c r="U295" s="233"/>
    </row>
    <row r="296" spans="1:21" ht="15.75" x14ac:dyDescent="0.2">
      <c r="A296" s="322"/>
      <c r="B296" s="234" t="s">
        <v>105516</v>
      </c>
      <c r="C296" s="234" t="s">
        <v>106106</v>
      </c>
      <c r="D296" s="234" t="s">
        <v>105520</v>
      </c>
      <c r="E296" s="234"/>
      <c r="F296" s="234"/>
      <c r="G296" s="234"/>
      <c r="H296" s="234"/>
      <c r="I296" s="234"/>
      <c r="J296" s="234"/>
      <c r="K296" s="235"/>
      <c r="L296" s="235"/>
      <c r="M296" s="236" t="s">
        <v>112768</v>
      </c>
      <c r="N296" s="237"/>
      <c r="O296" s="237" t="s">
        <v>112994</v>
      </c>
      <c r="P296" s="238"/>
      <c r="Q296" s="238"/>
      <c r="R296" s="239">
        <f>+R297</f>
        <v>3757000000</v>
      </c>
      <c r="S296" s="240"/>
      <c r="T296" s="240"/>
      <c r="U296" s="241"/>
    </row>
    <row r="297" spans="1:21" x14ac:dyDescent="0.2">
      <c r="A297" s="322"/>
      <c r="B297" s="242" t="s">
        <v>105516</v>
      </c>
      <c r="C297" s="242" t="s">
        <v>106106</v>
      </c>
      <c r="D297" s="242" t="s">
        <v>105520</v>
      </c>
      <c r="E297" s="242" t="s">
        <v>105573</v>
      </c>
      <c r="F297" s="242"/>
      <c r="G297" s="242"/>
      <c r="H297" s="242"/>
      <c r="I297" s="242"/>
      <c r="J297" s="242"/>
      <c r="K297" s="243"/>
      <c r="L297" s="243"/>
      <c r="M297" s="244" t="s">
        <v>112780</v>
      </c>
      <c r="N297" s="245"/>
      <c r="O297" s="245" t="s">
        <v>112994</v>
      </c>
      <c r="P297" s="246"/>
      <c r="Q297" s="246"/>
      <c r="R297" s="247">
        <f>+R298+R300+R302</f>
        <v>3757000000</v>
      </c>
      <c r="S297" s="248"/>
      <c r="T297" s="248"/>
      <c r="U297" s="249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105528</v>
      </c>
      <c r="G298" s="250"/>
      <c r="H298" s="250"/>
      <c r="I298" s="250"/>
      <c r="J298" s="250"/>
      <c r="K298" s="64"/>
      <c r="L298" s="64"/>
      <c r="M298" s="65" t="s">
        <v>113149</v>
      </c>
      <c r="N298" s="66"/>
      <c r="O298" s="66" t="s">
        <v>112994</v>
      </c>
      <c r="P298" s="67"/>
      <c r="Q298" s="67"/>
      <c r="R298" s="68">
        <f>+R299</f>
        <v>3663000000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112781</v>
      </c>
      <c r="L299" s="251"/>
      <c r="M299" s="101" t="str">
        <f>+M298</f>
        <v>IMPUESTO PREDIAL</v>
      </c>
      <c r="N299" s="93"/>
      <c r="O299" s="93"/>
      <c r="P299" s="93"/>
      <c r="Q299" s="93"/>
      <c r="R299" s="201">
        <v>3663000000</v>
      </c>
      <c r="S299" s="95"/>
      <c r="T299" s="252"/>
      <c r="U299" s="198"/>
    </row>
    <row r="300" spans="1:21" x14ac:dyDescent="0.2">
      <c r="A300" s="322"/>
      <c r="B300" s="250" t="s">
        <v>105516</v>
      </c>
      <c r="C300" s="250" t="s">
        <v>106106</v>
      </c>
      <c r="D300" s="250" t="s">
        <v>105520</v>
      </c>
      <c r="E300" s="250" t="s">
        <v>105573</v>
      </c>
      <c r="F300" s="250" t="s">
        <v>105538</v>
      </c>
      <c r="G300" s="250"/>
      <c r="H300" s="250"/>
      <c r="I300" s="250"/>
      <c r="J300" s="250"/>
      <c r="K300" s="64"/>
      <c r="L300" s="64"/>
      <c r="M300" s="65" t="s">
        <v>112786</v>
      </c>
      <c r="N300" s="66"/>
      <c r="O300" s="66" t="s">
        <v>112994</v>
      </c>
      <c r="P300" s="67"/>
      <c r="Q300" s="67"/>
      <c r="R300" s="68">
        <f>+R301</f>
        <v>90000000</v>
      </c>
      <c r="S300" s="69"/>
      <c r="T300" s="69"/>
      <c r="U300" s="70"/>
    </row>
    <row r="301" spans="1:21" x14ac:dyDescent="0.2">
      <c r="A301" s="322"/>
      <c r="B301" s="87"/>
      <c r="C301" s="88"/>
      <c r="D301" s="88"/>
      <c r="E301" s="88"/>
      <c r="F301" s="88"/>
      <c r="G301" s="88"/>
      <c r="H301" s="88"/>
      <c r="I301" s="88"/>
      <c r="J301" s="89"/>
      <c r="K301" s="89" t="s">
        <v>112785</v>
      </c>
      <c r="L301" s="126"/>
      <c r="M301" s="91" t="str">
        <f>+M300</f>
        <v>IMPUESTO DE INDUSTRIA Y COMERCIO</v>
      </c>
      <c r="N301" s="93"/>
      <c r="O301" s="93"/>
      <c r="P301" s="93"/>
      <c r="Q301" s="93"/>
      <c r="R301" s="94">
        <v>90000000</v>
      </c>
      <c r="S301" s="95"/>
      <c r="T301" s="96"/>
      <c r="U301" s="97"/>
    </row>
    <row r="302" spans="1:21" x14ac:dyDescent="0.2">
      <c r="A302" s="322"/>
      <c r="B302" s="250" t="s">
        <v>105516</v>
      </c>
      <c r="C302" s="250" t="s">
        <v>106106</v>
      </c>
      <c r="D302" s="250" t="s">
        <v>105520</v>
      </c>
      <c r="E302" s="250" t="s">
        <v>105573</v>
      </c>
      <c r="F302" s="250" t="s">
        <v>105547</v>
      </c>
      <c r="G302" s="250"/>
      <c r="H302" s="250"/>
      <c r="I302" s="250"/>
      <c r="J302" s="250"/>
      <c r="K302" s="64"/>
      <c r="L302" s="64"/>
      <c r="M302" s="65" t="s">
        <v>112792</v>
      </c>
      <c r="N302" s="66"/>
      <c r="O302" s="66" t="s">
        <v>112994</v>
      </c>
      <c r="P302" s="67"/>
      <c r="Q302" s="67"/>
      <c r="R302" s="68">
        <f>+R303</f>
        <v>4000000</v>
      </c>
      <c r="S302" s="69"/>
      <c r="T302" s="69"/>
      <c r="U302" s="70"/>
    </row>
    <row r="303" spans="1:21" x14ac:dyDescent="0.2">
      <c r="A303" s="322"/>
      <c r="B303" s="87"/>
      <c r="C303" s="88"/>
      <c r="D303" s="88"/>
      <c r="E303" s="88"/>
      <c r="F303" s="88"/>
      <c r="G303" s="88"/>
      <c r="H303" s="88"/>
      <c r="I303" s="88"/>
      <c r="J303" s="89"/>
      <c r="K303" s="89" t="s">
        <v>112791</v>
      </c>
      <c r="L303" s="126"/>
      <c r="M303" s="91" t="str">
        <f>+M302</f>
        <v>IMPUESTO SOBRE VEHÍCULOS AUTOMOTORES</v>
      </c>
      <c r="N303" s="93"/>
      <c r="O303" s="93"/>
      <c r="P303" s="93"/>
      <c r="Q303" s="93"/>
      <c r="R303" s="94">
        <v>4000000</v>
      </c>
      <c r="S303" s="95"/>
      <c r="T303" s="96"/>
      <c r="U303" s="97"/>
    </row>
    <row r="304" spans="1:21" ht="15.75" x14ac:dyDescent="0.2">
      <c r="A304" s="322"/>
      <c r="B304" s="234" t="s">
        <v>105516</v>
      </c>
      <c r="C304" s="234" t="s">
        <v>106106</v>
      </c>
      <c r="D304" s="234" t="s">
        <v>105917</v>
      </c>
      <c r="E304" s="234"/>
      <c r="F304" s="234"/>
      <c r="G304" s="234"/>
      <c r="H304" s="234"/>
      <c r="I304" s="234"/>
      <c r="J304" s="234"/>
      <c r="K304" s="235"/>
      <c r="L304" s="235"/>
      <c r="M304" s="236" t="s">
        <v>112804</v>
      </c>
      <c r="N304" s="237"/>
      <c r="O304" s="237" t="s">
        <v>112994</v>
      </c>
      <c r="P304" s="238"/>
      <c r="Q304" s="238"/>
      <c r="R304" s="239">
        <f>+R305+R306</f>
        <v>382000000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42" t="s">
        <v>105917</v>
      </c>
      <c r="E305" s="242" t="s">
        <v>105520</v>
      </c>
      <c r="F305" s="242"/>
      <c r="G305" s="242"/>
      <c r="H305" s="242"/>
      <c r="I305" s="242"/>
      <c r="J305" s="242"/>
      <c r="K305" s="253" t="s">
        <v>112805</v>
      </c>
      <c r="L305" s="243"/>
      <c r="M305" s="244" t="s">
        <v>112806</v>
      </c>
      <c r="N305" s="245" t="s">
        <v>112994</v>
      </c>
      <c r="O305" s="245" t="s">
        <v>113030</v>
      </c>
      <c r="P305" s="246"/>
      <c r="Q305" s="246"/>
      <c r="R305" s="254">
        <v>136000000</v>
      </c>
      <c r="S305" s="242"/>
      <c r="T305" s="255"/>
      <c r="U305" s="249"/>
    </row>
    <row r="306" spans="1:21" x14ac:dyDescent="0.2">
      <c r="A306" s="322"/>
      <c r="B306" s="242" t="s">
        <v>105516</v>
      </c>
      <c r="C306" s="242" t="s">
        <v>106106</v>
      </c>
      <c r="D306" s="242" t="s">
        <v>105917</v>
      </c>
      <c r="E306" s="242" t="s">
        <v>105917</v>
      </c>
      <c r="F306" s="242"/>
      <c r="G306" s="242"/>
      <c r="H306" s="242"/>
      <c r="I306" s="242"/>
      <c r="J306" s="242"/>
      <c r="K306" s="253" t="s">
        <v>112811</v>
      </c>
      <c r="L306" s="243"/>
      <c r="M306" s="244" t="s">
        <v>113151</v>
      </c>
      <c r="N306" s="245"/>
      <c r="O306" s="245"/>
      <c r="P306" s="246"/>
      <c r="Q306" s="246"/>
      <c r="R306" s="254">
        <v>246000000</v>
      </c>
      <c r="S306" s="242"/>
      <c r="T306" s="255"/>
      <c r="U306" s="249"/>
    </row>
    <row r="307" spans="1:21" ht="15.75" x14ac:dyDescent="0.2">
      <c r="A307" s="322"/>
      <c r="B307" s="234" t="s">
        <v>105516</v>
      </c>
      <c r="C307" s="234" t="s">
        <v>106106</v>
      </c>
      <c r="D307" s="256" t="s">
        <v>105924</v>
      </c>
      <c r="E307" s="234"/>
      <c r="F307" s="234"/>
      <c r="G307" s="234"/>
      <c r="H307" s="234"/>
      <c r="I307" s="234"/>
      <c r="J307" s="234"/>
      <c r="K307" s="234"/>
      <c r="L307" s="235"/>
      <c r="M307" s="236" t="s">
        <v>112822</v>
      </c>
      <c r="N307" s="237"/>
      <c r="O307" s="237" t="s">
        <v>112994</v>
      </c>
      <c r="P307" s="238"/>
      <c r="Q307" s="238"/>
      <c r="R307" s="239">
        <f>+R308</f>
        <v>53000000</v>
      </c>
      <c r="S307" s="240"/>
      <c r="T307" s="240"/>
      <c r="U307" s="241"/>
    </row>
    <row r="308" spans="1:21" x14ac:dyDescent="0.2">
      <c r="A308" s="322"/>
      <c r="B308" s="242" t="s">
        <v>105516</v>
      </c>
      <c r="C308" s="242" t="s">
        <v>106106</v>
      </c>
      <c r="D308" s="257" t="s">
        <v>105924</v>
      </c>
      <c r="E308" s="242"/>
      <c r="F308" s="242"/>
      <c r="G308" s="242"/>
      <c r="H308" s="242"/>
      <c r="I308" s="242"/>
      <c r="J308" s="242"/>
      <c r="K308" s="243"/>
      <c r="L308" s="243"/>
      <c r="M308" s="244" t="s">
        <v>112822</v>
      </c>
      <c r="N308" s="245" t="s">
        <v>112994</v>
      </c>
      <c r="O308" s="245" t="s">
        <v>113030</v>
      </c>
      <c r="P308" s="246"/>
      <c r="Q308" s="246"/>
      <c r="R308" s="254">
        <v>53000000</v>
      </c>
      <c r="S308" s="242"/>
      <c r="T308" s="255"/>
      <c r="U308" s="249"/>
    </row>
    <row r="309" spans="1:21" ht="15.75" x14ac:dyDescent="0.2">
      <c r="A309" s="322"/>
      <c r="B309" s="258" t="s">
        <v>113152</v>
      </c>
      <c r="C309" s="258"/>
      <c r="D309" s="258"/>
      <c r="E309" s="258"/>
      <c r="F309" s="258"/>
      <c r="G309" s="258"/>
      <c r="H309" s="258"/>
      <c r="I309" s="258"/>
      <c r="J309" s="258"/>
      <c r="K309" s="259"/>
      <c r="L309" s="259"/>
      <c r="M309" s="260" t="s">
        <v>113153</v>
      </c>
      <c r="N309" s="261"/>
      <c r="O309" s="261" t="s">
        <v>112994</v>
      </c>
      <c r="P309" s="262"/>
      <c r="Q309" s="262"/>
      <c r="R309" s="263">
        <f>+R310</f>
        <v>38560000000</v>
      </c>
      <c r="S309" s="264">
        <v>38560000000</v>
      </c>
      <c r="T309" s="264">
        <f>+R309-S309</f>
        <v>0</v>
      </c>
      <c r="U309" s="265"/>
    </row>
    <row r="310" spans="1:21" ht="15.75" x14ac:dyDescent="0.2">
      <c r="A310" s="322"/>
      <c r="B310" s="266" t="s">
        <v>113152</v>
      </c>
      <c r="C310" s="266"/>
      <c r="D310" s="266" t="s">
        <v>113154</v>
      </c>
      <c r="E310" s="266"/>
      <c r="F310" s="266"/>
      <c r="G310" s="266"/>
      <c r="H310" s="266"/>
      <c r="I310" s="266"/>
      <c r="J310" s="266"/>
      <c r="K310" s="267"/>
      <c r="L310" s="267"/>
      <c r="M310" s="268" t="s">
        <v>113155</v>
      </c>
      <c r="N310" s="269"/>
      <c r="O310" s="269" t="s">
        <v>112994</v>
      </c>
      <c r="P310" s="270"/>
      <c r="Q310" s="270"/>
      <c r="R310" s="271">
        <f>+R311</f>
        <v>38560000000</v>
      </c>
      <c r="S310" s="272"/>
      <c r="T310" s="272"/>
      <c r="U310" s="273"/>
    </row>
    <row r="311" spans="1:21" ht="15.75" x14ac:dyDescent="0.2">
      <c r="A311" s="322"/>
      <c r="B311" s="274" t="s">
        <v>113152</v>
      </c>
      <c r="C311" s="274"/>
      <c r="D311" s="274" t="s">
        <v>113154</v>
      </c>
      <c r="E311" s="274"/>
      <c r="F311" s="274" t="s">
        <v>113156</v>
      </c>
      <c r="G311" s="274"/>
      <c r="H311" s="274"/>
      <c r="I311" s="274"/>
      <c r="J311" s="274"/>
      <c r="K311" s="275"/>
      <c r="L311" s="275"/>
      <c r="M311" s="276" t="s">
        <v>113157</v>
      </c>
      <c r="N311" s="277"/>
      <c r="O311" s="277" t="s">
        <v>112994</v>
      </c>
      <c r="P311" s="278"/>
      <c r="Q311" s="278"/>
      <c r="R311" s="279">
        <f>+R312+R328</f>
        <v>38560000000</v>
      </c>
      <c r="S311" s="280"/>
      <c r="T311" s="280"/>
      <c r="U311" s="281"/>
    </row>
    <row r="312" spans="1:21" ht="15.75" x14ac:dyDescent="0.2">
      <c r="A312" s="322"/>
      <c r="B312" s="250" t="s">
        <v>113152</v>
      </c>
      <c r="C312" s="250"/>
      <c r="D312" s="250" t="s">
        <v>113154</v>
      </c>
      <c r="E312" s="250"/>
      <c r="F312" s="250" t="s">
        <v>113156</v>
      </c>
      <c r="G312" s="250"/>
      <c r="H312" s="250">
        <v>4</v>
      </c>
      <c r="I312" s="250"/>
      <c r="J312" s="250"/>
      <c r="K312" s="64"/>
      <c r="L312" s="64"/>
      <c r="M312" s="65" t="s">
        <v>113158</v>
      </c>
      <c r="N312" s="66"/>
      <c r="O312" s="66" t="s">
        <v>112994</v>
      </c>
      <c r="P312" s="67"/>
      <c r="Q312" s="67"/>
      <c r="R312" s="282">
        <f>+R313</f>
        <v>17765000000</v>
      </c>
      <c r="S312" s="283">
        <v>17765000000</v>
      </c>
      <c r="T312" s="283">
        <f>+R312-S312</f>
        <v>0</v>
      </c>
      <c r="U312" s="284"/>
    </row>
    <row r="313" spans="1:21" ht="15.75" x14ac:dyDescent="0.2">
      <c r="A313" s="322"/>
      <c r="B313" s="285" t="s">
        <v>105516</v>
      </c>
      <c r="C313" s="285"/>
      <c r="D313" s="285"/>
      <c r="E313" s="285"/>
      <c r="F313" s="285"/>
      <c r="G313" s="285"/>
      <c r="H313" s="285"/>
      <c r="I313" s="285"/>
      <c r="J313" s="285"/>
      <c r="K313" s="34"/>
      <c r="L313" s="34"/>
      <c r="M313" s="35" t="s">
        <v>112993</v>
      </c>
      <c r="N313" s="286"/>
      <c r="O313" s="286" t="s">
        <v>112994</v>
      </c>
      <c r="P313" s="287"/>
      <c r="Q313" s="287"/>
      <c r="R313" s="38">
        <f>SUM(R314:R327)</f>
        <v>17765000000</v>
      </c>
      <c r="S313" s="39"/>
      <c r="T313" s="39"/>
      <c r="U313" s="288"/>
    </row>
    <row r="314" spans="1:21" ht="45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 t="s">
        <v>113159</v>
      </c>
      <c r="M314" s="91" t="s">
        <v>113160</v>
      </c>
      <c r="N314" s="92">
        <v>45292</v>
      </c>
      <c r="O314" s="92" t="s">
        <v>113180</v>
      </c>
      <c r="P314" s="130" t="s">
        <v>113067</v>
      </c>
      <c r="Q314" s="93" t="s">
        <v>113302</v>
      </c>
      <c r="R314" s="117">
        <f>4138111605+1854760690+276453645.92</f>
        <v>6269325940.9200001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81101500</v>
      </c>
      <c r="M315" s="91" t="s">
        <v>113163</v>
      </c>
      <c r="N315" s="92">
        <v>45292</v>
      </c>
      <c r="O315" s="92" t="s">
        <v>113180</v>
      </c>
      <c r="P315" s="130" t="s">
        <v>113067</v>
      </c>
      <c r="Q315" s="93" t="s">
        <v>113303</v>
      </c>
      <c r="R315" s="117">
        <f>550573393+208535397</f>
        <v>759108790</v>
      </c>
      <c r="S315" s="289"/>
      <c r="T315" s="290"/>
      <c r="U315" s="291" t="s">
        <v>113161</v>
      </c>
    </row>
    <row r="316" spans="1:21" ht="4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 t="s">
        <v>113159</v>
      </c>
      <c r="M316" s="91" t="s">
        <v>113215</v>
      </c>
      <c r="N316" s="92">
        <v>45444</v>
      </c>
      <c r="O316" s="92" t="s">
        <v>113017</v>
      </c>
      <c r="P316" s="93" t="s">
        <v>113164</v>
      </c>
      <c r="Q316" s="93" t="s">
        <v>113302</v>
      </c>
      <c r="R316" s="117">
        <f>4564220183-1854760690-208535397-2481348913-19575183</f>
        <v>0</v>
      </c>
      <c r="S316" s="289"/>
      <c r="T316" s="290"/>
      <c r="U316" s="291" t="s">
        <v>113161</v>
      </c>
    </row>
    <row r="317" spans="1:21" ht="30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>
        <v>81101500</v>
      </c>
      <c r="M317" s="91" t="s">
        <v>113216</v>
      </c>
      <c r="N317" s="92">
        <v>45444</v>
      </c>
      <c r="O317" s="92" t="s">
        <v>113017</v>
      </c>
      <c r="P317" s="93" t="s">
        <v>113164</v>
      </c>
      <c r="Q317" s="93" t="s">
        <v>113303</v>
      </c>
      <c r="R317" s="117">
        <f>410779817-410779817</f>
        <v>0</v>
      </c>
      <c r="S317" s="289"/>
      <c r="T317" s="290"/>
      <c r="U317" s="291" t="s">
        <v>113161</v>
      </c>
    </row>
    <row r="318" spans="1:21" ht="30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>
        <v>90121600</v>
      </c>
      <c r="M318" s="91" t="s">
        <v>113166</v>
      </c>
      <c r="N318" s="92">
        <v>45311</v>
      </c>
      <c r="O318" s="92" t="s">
        <v>113059</v>
      </c>
      <c r="P318" s="93" t="s">
        <v>113010</v>
      </c>
      <c r="Q318" s="93" t="s">
        <v>113293</v>
      </c>
      <c r="R318" s="117">
        <v>50000000</v>
      </c>
      <c r="S318" s="140"/>
      <c r="T318" s="140"/>
      <c r="U318" s="291" t="s">
        <v>113161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113162</v>
      </c>
      <c r="L319" s="90">
        <v>90111500</v>
      </c>
      <c r="M319" s="91" t="s">
        <v>113214</v>
      </c>
      <c r="N319" s="92">
        <v>45311</v>
      </c>
      <c r="O319" s="92" t="s">
        <v>113180</v>
      </c>
      <c r="P319" s="93" t="s">
        <v>113178</v>
      </c>
      <c r="Q319" s="93" t="s">
        <v>113030</v>
      </c>
      <c r="R319" s="117">
        <v>70000000</v>
      </c>
      <c r="S319" s="140"/>
      <c r="T319" s="140"/>
      <c r="U319" s="291" t="s">
        <v>113161</v>
      </c>
    </row>
    <row r="320" spans="1:21" ht="36.7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113162</v>
      </c>
      <c r="L320" s="90" t="s">
        <v>113217</v>
      </c>
      <c r="M320" s="91" t="s">
        <v>113165</v>
      </c>
      <c r="N320" s="92">
        <v>45305</v>
      </c>
      <c r="O320" s="92" t="s">
        <v>113180</v>
      </c>
      <c r="P320" s="93" t="s">
        <v>113178</v>
      </c>
      <c r="Q320" s="93" t="s">
        <v>113094</v>
      </c>
      <c r="R320" s="117">
        <v>500000000</v>
      </c>
      <c r="S320" s="140"/>
      <c r="T320" s="140"/>
      <c r="U320" s="291" t="s">
        <v>113161</v>
      </c>
    </row>
    <row r="321" spans="1:21" ht="44.25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113162</v>
      </c>
      <c r="L321" s="90" t="s">
        <v>113217</v>
      </c>
      <c r="M321" s="91" t="s">
        <v>113165</v>
      </c>
      <c r="N321" s="92">
        <v>45305</v>
      </c>
      <c r="O321" s="92" t="s">
        <v>113180</v>
      </c>
      <c r="P321" s="93" t="s">
        <v>113178</v>
      </c>
      <c r="Q321" s="93" t="s">
        <v>113303</v>
      </c>
      <c r="R321" s="117">
        <v>481315002</v>
      </c>
      <c r="S321" s="140"/>
      <c r="T321" s="140"/>
      <c r="U321" s="291" t="s">
        <v>113161</v>
      </c>
    </row>
    <row r="322" spans="1:21" ht="44.25" customHeight="1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/>
      <c r="L322" s="90" t="s">
        <v>113159</v>
      </c>
      <c r="M322" s="91" t="s">
        <v>113306</v>
      </c>
      <c r="N322" s="92">
        <v>45455</v>
      </c>
      <c r="O322" s="92" t="s">
        <v>113184</v>
      </c>
      <c r="P322" s="93" t="s">
        <v>113308</v>
      </c>
      <c r="Q322" s="93" t="s">
        <v>113302</v>
      </c>
      <c r="R322" s="117">
        <v>2481348913</v>
      </c>
      <c r="S322" s="289" t="s">
        <v>105533</v>
      </c>
      <c r="T322" s="314">
        <v>8000000000</v>
      </c>
      <c r="U322" s="291" t="s">
        <v>113161</v>
      </c>
    </row>
    <row r="323" spans="1:21" ht="44.25" customHeight="1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/>
      <c r="L323" s="90">
        <v>81101500</v>
      </c>
      <c r="M323" s="91" t="s">
        <v>113307</v>
      </c>
      <c r="N323" s="92">
        <v>45455</v>
      </c>
      <c r="O323" s="92" t="s">
        <v>113184</v>
      </c>
      <c r="P323" s="93" t="s">
        <v>113067</v>
      </c>
      <c r="Q323" s="93" t="s">
        <v>113302</v>
      </c>
      <c r="R323" s="117">
        <f>19575183+410779817</f>
        <v>430355000</v>
      </c>
      <c r="S323" s="289" t="s">
        <v>105533</v>
      </c>
      <c r="T323" s="314">
        <v>1300000000</v>
      </c>
      <c r="U323" s="291" t="s">
        <v>113161</v>
      </c>
    </row>
    <row r="324" spans="1:21" ht="39" customHeight="1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 t="s">
        <v>113159</v>
      </c>
      <c r="M324" s="91" t="s">
        <v>113218</v>
      </c>
      <c r="N324" s="92">
        <v>45336</v>
      </c>
      <c r="O324" s="92" t="s">
        <v>113180</v>
      </c>
      <c r="P324" s="93" t="s">
        <v>113219</v>
      </c>
      <c r="Q324" s="93" t="s">
        <v>113302</v>
      </c>
      <c r="R324" s="117">
        <f>4133000000-712261158-276453645.92</f>
        <v>3144285196.0799999</v>
      </c>
      <c r="S324" s="140"/>
      <c r="T324" s="140"/>
      <c r="U324" s="291" t="s">
        <v>113161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113162</v>
      </c>
      <c r="L325" s="90">
        <v>81101500</v>
      </c>
      <c r="M325" s="91" t="s">
        <v>113220</v>
      </c>
      <c r="N325" s="92">
        <v>45336</v>
      </c>
      <c r="O325" s="92" t="s">
        <v>113180</v>
      </c>
      <c r="P325" s="93" t="s">
        <v>113219</v>
      </c>
      <c r="Q325" s="93" t="s">
        <v>113303</v>
      </c>
      <c r="R325" s="117">
        <v>405000000</v>
      </c>
      <c r="S325" s="140"/>
      <c r="T325" s="140"/>
      <c r="U325" s="291" t="s">
        <v>113161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113162</v>
      </c>
      <c r="L326" s="90" t="s">
        <v>113159</v>
      </c>
      <c r="M326" s="91" t="s">
        <v>113221</v>
      </c>
      <c r="N326" s="92">
        <v>45336</v>
      </c>
      <c r="O326" s="92" t="s">
        <v>113180</v>
      </c>
      <c r="P326" s="93" t="s">
        <v>113219</v>
      </c>
      <c r="Q326" s="93" t="s">
        <v>113302</v>
      </c>
      <c r="R326" s="117">
        <f>2107000000+712261158</f>
        <v>2819261158</v>
      </c>
      <c r="S326" s="140"/>
      <c r="T326" s="140"/>
      <c r="U326" s="291" t="s">
        <v>113161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113162</v>
      </c>
      <c r="L327" s="90">
        <v>81101500</v>
      </c>
      <c r="M327" s="91" t="s">
        <v>113222</v>
      </c>
      <c r="N327" s="92">
        <v>45336</v>
      </c>
      <c r="O327" s="92" t="s">
        <v>113180</v>
      </c>
      <c r="P327" s="93" t="s">
        <v>113219</v>
      </c>
      <c r="Q327" s="93" t="s">
        <v>113303</v>
      </c>
      <c r="R327" s="117">
        <v>355000000</v>
      </c>
      <c r="S327" s="140"/>
      <c r="T327" s="140"/>
      <c r="U327" s="291" t="s">
        <v>113161</v>
      </c>
    </row>
    <row r="328" spans="1:21" ht="30" x14ac:dyDescent="0.2">
      <c r="A328" s="322"/>
      <c r="B328" s="250" t="s">
        <v>113152</v>
      </c>
      <c r="C328" s="250"/>
      <c r="D328" s="250" t="s">
        <v>113154</v>
      </c>
      <c r="E328" s="250"/>
      <c r="F328" s="250" t="s">
        <v>113156</v>
      </c>
      <c r="G328" s="250"/>
      <c r="H328" s="250" t="s">
        <v>106211</v>
      </c>
      <c r="I328" s="250"/>
      <c r="J328" s="250"/>
      <c r="K328" s="64"/>
      <c r="L328" s="64"/>
      <c r="M328" s="65" t="s">
        <v>113167</v>
      </c>
      <c r="N328" s="66"/>
      <c r="O328" s="66" t="s">
        <v>112994</v>
      </c>
      <c r="P328" s="67"/>
      <c r="Q328" s="67"/>
      <c r="R328" s="68">
        <f>+R329</f>
        <v>20795000000</v>
      </c>
      <c r="S328" s="69">
        <v>20795000000</v>
      </c>
      <c r="T328" s="69">
        <f>+R328-S328</f>
        <v>0</v>
      </c>
      <c r="U328" s="70"/>
    </row>
    <row r="329" spans="1:21" ht="15.75" x14ac:dyDescent="0.2">
      <c r="A329" s="322"/>
      <c r="B329" s="285" t="s">
        <v>105516</v>
      </c>
      <c r="C329" s="285"/>
      <c r="D329" s="285"/>
      <c r="E329" s="285"/>
      <c r="F329" s="285"/>
      <c r="G329" s="285"/>
      <c r="H329" s="285"/>
      <c r="I329" s="285"/>
      <c r="J329" s="285"/>
      <c r="K329" s="34"/>
      <c r="L329" s="34"/>
      <c r="M329" s="35" t="s">
        <v>112993</v>
      </c>
      <c r="N329" s="286"/>
      <c r="O329" s="286" t="s">
        <v>112994</v>
      </c>
      <c r="P329" s="287"/>
      <c r="Q329" s="287"/>
      <c r="R329" s="292">
        <f>SUM(R330:R353)</f>
        <v>20795000000</v>
      </c>
      <c r="S329" s="293"/>
      <c r="T329" s="293"/>
      <c r="U329" s="294"/>
    </row>
    <row r="330" spans="1:21" ht="27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90" t="s">
        <v>113159</v>
      </c>
      <c r="M330" s="91" t="s">
        <v>113168</v>
      </c>
      <c r="N330" s="92">
        <v>45163</v>
      </c>
      <c r="O330" s="92" t="s">
        <v>113009</v>
      </c>
      <c r="P330" s="93" t="s">
        <v>113021</v>
      </c>
      <c r="Q330" s="93" t="s">
        <v>113302</v>
      </c>
      <c r="R330" s="117">
        <f>1160000000+364924765</f>
        <v>1524924765</v>
      </c>
      <c r="S330" s="95"/>
      <c r="T330" s="138"/>
      <c r="U330" s="91" t="s">
        <v>113161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54">
        <v>81101500</v>
      </c>
      <c r="M331" s="91" t="s">
        <v>113170</v>
      </c>
      <c r="N331" s="92">
        <v>45222</v>
      </c>
      <c r="O331" s="92" t="s">
        <v>113069</v>
      </c>
      <c r="P331" s="93" t="s">
        <v>113021</v>
      </c>
      <c r="Q331" s="93" t="s">
        <v>113303</v>
      </c>
      <c r="R331" s="117">
        <f>177400000+39348068</f>
        <v>216748068</v>
      </c>
      <c r="S331" s="95"/>
      <c r="T331" s="138"/>
      <c r="U331" s="91" t="s">
        <v>113161</v>
      </c>
    </row>
    <row r="332" spans="1:21" ht="25.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 t="s">
        <v>113159</v>
      </c>
      <c r="M332" s="91" t="s">
        <v>113173</v>
      </c>
      <c r="N332" s="92">
        <v>45163</v>
      </c>
      <c r="O332" s="92" t="s">
        <v>113059</v>
      </c>
      <c r="P332" s="93" t="s">
        <v>113021</v>
      </c>
      <c r="Q332" s="93" t="s">
        <v>113302</v>
      </c>
      <c r="R332" s="117">
        <f>1754000000-364924765-39348068-6166041</f>
        <v>1343561126</v>
      </c>
      <c r="S332" s="95"/>
      <c r="T332" s="138"/>
      <c r="U332" s="91" t="s">
        <v>113161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54">
        <v>81101500</v>
      </c>
      <c r="M333" s="91" t="s">
        <v>113174</v>
      </c>
      <c r="N333" s="92">
        <v>45222</v>
      </c>
      <c r="O333" s="92" t="s">
        <v>113059</v>
      </c>
      <c r="P333" s="93" t="s">
        <v>113021</v>
      </c>
      <c r="Q333" s="93" t="s">
        <v>113303</v>
      </c>
      <c r="R333" s="117">
        <f>178500000+6166041+21943297.82</f>
        <v>206609338.81999999</v>
      </c>
      <c r="S333" s="95"/>
      <c r="T333" s="138"/>
      <c r="U333" s="91" t="s">
        <v>113161</v>
      </c>
    </row>
    <row r="334" spans="1:21" ht="25.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 t="s">
        <v>113159</v>
      </c>
      <c r="M334" s="91" t="s">
        <v>113200</v>
      </c>
      <c r="N334" s="92">
        <v>45163</v>
      </c>
      <c r="O334" s="92" t="s">
        <v>113059</v>
      </c>
      <c r="P334" s="93" t="s">
        <v>113021</v>
      </c>
      <c r="Q334" s="93" t="s">
        <v>113302</v>
      </c>
      <c r="R334" s="117">
        <f>1655616086.67-21943297.82-43835356.02</f>
        <v>1589837432.8300002</v>
      </c>
      <c r="S334" s="95"/>
      <c r="T334" s="138"/>
      <c r="U334" s="91" t="s">
        <v>113161</v>
      </c>
    </row>
    <row r="335" spans="1:21" ht="24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>
        <v>81101500</v>
      </c>
      <c r="M335" s="91" t="s">
        <v>113201</v>
      </c>
      <c r="N335" s="92">
        <v>45222</v>
      </c>
      <c r="O335" s="92" t="s">
        <v>113059</v>
      </c>
      <c r="P335" s="93" t="s">
        <v>113021</v>
      </c>
      <c r="Q335" s="93" t="s">
        <v>113303</v>
      </c>
      <c r="R335" s="117">
        <f>160005447.8+43835356.02-195000000-404845.31</f>
        <v>8435958.5100000221</v>
      </c>
      <c r="S335" s="95"/>
      <c r="T335" s="138"/>
      <c r="U335" s="91" t="s">
        <v>113161</v>
      </c>
    </row>
    <row r="336" spans="1:21" ht="36.7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 t="s">
        <v>113159</v>
      </c>
      <c r="M336" s="91" t="s">
        <v>113202</v>
      </c>
      <c r="N336" s="92">
        <v>45651</v>
      </c>
      <c r="O336" s="92" t="s">
        <v>113059</v>
      </c>
      <c r="P336" s="93" t="s">
        <v>113021</v>
      </c>
      <c r="Q336" s="93" t="s">
        <v>113302</v>
      </c>
      <c r="R336" s="117">
        <f>2900000000-7147237-29002880-16094179</f>
        <v>2847755704</v>
      </c>
      <c r="S336" s="95"/>
      <c r="T336" s="138"/>
      <c r="U336" s="91" t="s">
        <v>113161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>
        <v>81101500</v>
      </c>
      <c r="M337" s="91" t="s">
        <v>113203</v>
      </c>
      <c r="N337" s="92">
        <v>45651</v>
      </c>
      <c r="O337" s="92" t="s">
        <v>113059</v>
      </c>
      <c r="P337" s="93" t="s">
        <v>113021</v>
      </c>
      <c r="Q337" s="93" t="s">
        <v>113303</v>
      </c>
      <c r="R337" s="117">
        <f>300000000+8833032+1166968</f>
        <v>310000000</v>
      </c>
      <c r="S337" s="95"/>
      <c r="T337" s="138"/>
      <c r="U337" s="91" t="s">
        <v>113161</v>
      </c>
    </row>
    <row r="338" spans="1:21" ht="33.7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 t="s">
        <v>113159</v>
      </c>
      <c r="M338" s="91" t="s">
        <v>113204</v>
      </c>
      <c r="N338" s="92">
        <v>45651</v>
      </c>
      <c r="O338" s="92" t="s">
        <v>113059</v>
      </c>
      <c r="P338" s="93" t="s">
        <v>113021</v>
      </c>
      <c r="Q338" s="93" t="s">
        <v>113302</v>
      </c>
      <c r="R338" s="117">
        <f>2800000000+88483032</f>
        <v>2888483032</v>
      </c>
      <c r="S338" s="95"/>
      <c r="T338" s="138"/>
      <c r="U338" s="91" t="s">
        <v>113161</v>
      </c>
    </row>
    <row r="339" spans="1:21" ht="26.2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>
        <v>81101500</v>
      </c>
      <c r="M339" s="91" t="s">
        <v>113205</v>
      </c>
      <c r="N339" s="92">
        <v>45651</v>
      </c>
      <c r="O339" s="92" t="s">
        <v>113059</v>
      </c>
      <c r="P339" s="93" t="s">
        <v>113021</v>
      </c>
      <c r="Q339" s="93" t="s">
        <v>113303</v>
      </c>
      <c r="R339" s="117">
        <f>290000000+7147237+22852763</f>
        <v>320000000</v>
      </c>
      <c r="S339" s="95"/>
      <c r="T339" s="138"/>
      <c r="U339" s="91" t="s">
        <v>113161</v>
      </c>
    </row>
    <row r="340" spans="1:21" ht="24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 t="s">
        <v>113159</v>
      </c>
      <c r="M340" s="91" t="s">
        <v>113206</v>
      </c>
      <c r="N340" s="92">
        <v>45651</v>
      </c>
      <c r="O340" s="92" t="s">
        <v>113180</v>
      </c>
      <c r="P340" s="93" t="s">
        <v>113021</v>
      </c>
      <c r="Q340" s="93" t="s">
        <v>113302</v>
      </c>
      <c r="R340" s="117">
        <f>2400000000-8833032-22852763</f>
        <v>2368314205</v>
      </c>
      <c r="S340" s="95"/>
      <c r="T340" s="138"/>
      <c r="U340" s="91" t="s">
        <v>113161</v>
      </c>
    </row>
    <row r="341" spans="1:21" ht="26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>
        <v>81101500</v>
      </c>
      <c r="M341" s="91" t="s">
        <v>113207</v>
      </c>
      <c r="N341" s="92">
        <v>45651</v>
      </c>
      <c r="O341" s="92" t="s">
        <v>113180</v>
      </c>
      <c r="P341" s="93" t="s">
        <v>113021</v>
      </c>
      <c r="Q341" s="93" t="s">
        <v>113303</v>
      </c>
      <c r="R341" s="117">
        <f>270000000+29002880</f>
        <v>299002880</v>
      </c>
      <c r="S341" s="95"/>
      <c r="T341" s="138"/>
      <c r="U341" s="91" t="s">
        <v>113161</v>
      </c>
    </row>
    <row r="342" spans="1:21" ht="27.7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 t="s">
        <v>113159</v>
      </c>
      <c r="M342" s="91" t="s">
        <v>113171</v>
      </c>
      <c r="N342" s="92">
        <v>45651</v>
      </c>
      <c r="O342" s="92" t="s">
        <v>113180</v>
      </c>
      <c r="P342" s="93" t="s">
        <v>113021</v>
      </c>
      <c r="Q342" s="93" t="s">
        <v>113302</v>
      </c>
      <c r="R342" s="117">
        <f>2900000000-1166968-88483032</f>
        <v>2810350000</v>
      </c>
      <c r="S342" s="95"/>
      <c r="T342" s="138"/>
      <c r="U342" s="91" t="s">
        <v>113161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>
        <v>81101500</v>
      </c>
      <c r="M343" s="91" t="s">
        <v>113172</v>
      </c>
      <c r="N343" s="92">
        <v>45651</v>
      </c>
      <c r="O343" s="92" t="s">
        <v>113180</v>
      </c>
      <c r="P343" s="93" t="s">
        <v>113021</v>
      </c>
      <c r="Q343" s="93" t="s">
        <v>113303</v>
      </c>
      <c r="R343" s="117">
        <f>300000000+16094179</f>
        <v>316094179</v>
      </c>
      <c r="S343" s="95"/>
      <c r="T343" s="138"/>
      <c r="U343" s="91" t="s">
        <v>113161</v>
      </c>
    </row>
    <row r="344" spans="1:21" ht="35.25" customHeight="1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 t="s">
        <v>113159</v>
      </c>
      <c r="M344" s="91" t="s">
        <v>113208</v>
      </c>
      <c r="N344" s="92">
        <v>45641</v>
      </c>
      <c r="O344" s="92" t="s">
        <v>113180</v>
      </c>
      <c r="P344" s="93" t="s">
        <v>113010</v>
      </c>
      <c r="Q344" s="93" t="s">
        <v>113302</v>
      </c>
      <c r="R344" s="117">
        <f>1100000000-200000000+195000000</f>
        <v>1095000000</v>
      </c>
      <c r="S344" s="95" t="s">
        <v>105533</v>
      </c>
      <c r="T344" s="314">
        <v>3191426295.0047998</v>
      </c>
      <c r="U344" s="91" t="s">
        <v>113161</v>
      </c>
    </row>
    <row r="345" spans="1:21" ht="25.5" customHeight="1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>
        <v>81101500</v>
      </c>
      <c r="M345" s="91" t="s">
        <v>113209</v>
      </c>
      <c r="N345" s="92">
        <v>45641</v>
      </c>
      <c r="O345" s="92" t="s">
        <v>113180</v>
      </c>
      <c r="P345" s="93" t="s">
        <v>113010</v>
      </c>
      <c r="Q345" s="93" t="s">
        <v>113303</v>
      </c>
      <c r="R345" s="117">
        <v>160000000</v>
      </c>
      <c r="S345" s="95" t="s">
        <v>105533</v>
      </c>
      <c r="T345" s="314">
        <v>285450049</v>
      </c>
      <c r="U345" s="91" t="s">
        <v>113161</v>
      </c>
    </row>
    <row r="346" spans="1:21" ht="45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 t="s">
        <v>113159</v>
      </c>
      <c r="M346" s="91" t="s">
        <v>113210</v>
      </c>
      <c r="N346" s="92">
        <v>45641</v>
      </c>
      <c r="O346" s="92" t="s">
        <v>113180</v>
      </c>
      <c r="P346" s="93" t="s">
        <v>113021</v>
      </c>
      <c r="Q346" s="93" t="s">
        <v>113302</v>
      </c>
      <c r="R346" s="117">
        <f>1000000000-100000000</f>
        <v>900000000</v>
      </c>
      <c r="S346" s="95" t="s">
        <v>105533</v>
      </c>
      <c r="T346" s="314">
        <v>873272719.76999998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81101500</v>
      </c>
      <c r="M347" s="91" t="s">
        <v>113211</v>
      </c>
      <c r="N347" s="92">
        <v>45641</v>
      </c>
      <c r="O347" s="92" t="s">
        <v>113180</v>
      </c>
      <c r="P347" s="93" t="s">
        <v>113021</v>
      </c>
      <c r="Q347" s="93" t="s">
        <v>113303</v>
      </c>
      <c r="R347" s="117">
        <v>80000000</v>
      </c>
      <c r="S347" s="95" t="s">
        <v>105533</v>
      </c>
      <c r="T347" s="314">
        <v>104065708</v>
      </c>
      <c r="U347" s="91" t="s">
        <v>113161</v>
      </c>
    </row>
    <row r="348" spans="1:21" ht="45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 t="s">
        <v>113169</v>
      </c>
      <c r="L348" s="90" t="s">
        <v>113159</v>
      </c>
      <c r="M348" s="91" t="s">
        <v>113212</v>
      </c>
      <c r="N348" s="92">
        <v>45641</v>
      </c>
      <c r="O348" s="92" t="s">
        <v>113180</v>
      </c>
      <c r="P348" s="93" t="s">
        <v>113021</v>
      </c>
      <c r="Q348" s="93" t="s">
        <v>113302</v>
      </c>
      <c r="R348" s="117">
        <f>1000000000-100000000</f>
        <v>900000000</v>
      </c>
      <c r="S348" s="95" t="s">
        <v>105533</v>
      </c>
      <c r="T348" s="314">
        <v>610274233.07000005</v>
      </c>
      <c r="U348" s="91" t="s">
        <v>113161</v>
      </c>
    </row>
    <row r="349" spans="1:21" ht="30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 t="s">
        <v>113169</v>
      </c>
      <c r="L349" s="90">
        <v>81101500</v>
      </c>
      <c r="M349" s="91" t="s">
        <v>113213</v>
      </c>
      <c r="N349" s="92">
        <v>45641</v>
      </c>
      <c r="O349" s="92" t="s">
        <v>113180</v>
      </c>
      <c r="P349" s="93" t="s">
        <v>113021</v>
      </c>
      <c r="Q349" s="93" t="s">
        <v>113303</v>
      </c>
      <c r="R349" s="117">
        <v>120000000</v>
      </c>
      <c r="S349" s="95" t="s">
        <v>105533</v>
      </c>
      <c r="T349" s="314">
        <v>50000000</v>
      </c>
      <c r="U349" s="91" t="s">
        <v>113161</v>
      </c>
    </row>
    <row r="350" spans="1:21" ht="30" x14ac:dyDescent="0.2">
      <c r="A350" s="322"/>
      <c r="B350" s="87"/>
      <c r="C350" s="88"/>
      <c r="D350" s="88"/>
      <c r="E350" s="88"/>
      <c r="F350" s="88"/>
      <c r="G350" s="88"/>
      <c r="H350" s="88"/>
      <c r="I350" s="88"/>
      <c r="J350" s="89"/>
      <c r="K350" s="89" t="s">
        <v>113169</v>
      </c>
      <c r="L350" s="90">
        <v>90121600</v>
      </c>
      <c r="M350" s="91" t="s">
        <v>113166</v>
      </c>
      <c r="N350" s="92">
        <v>45311</v>
      </c>
      <c r="O350" s="92" t="s">
        <v>113059</v>
      </c>
      <c r="P350" s="93" t="s">
        <v>113010</v>
      </c>
      <c r="Q350" s="93" t="s">
        <v>113293</v>
      </c>
      <c r="R350" s="117">
        <v>40000000</v>
      </c>
      <c r="S350" s="95"/>
      <c r="T350" s="138"/>
      <c r="U350" s="91" t="s">
        <v>113161</v>
      </c>
    </row>
    <row r="351" spans="1:21" x14ac:dyDescent="0.2">
      <c r="A351" s="322"/>
      <c r="B351" s="87"/>
      <c r="C351" s="88"/>
      <c r="D351" s="88"/>
      <c r="E351" s="88"/>
      <c r="F351" s="88"/>
      <c r="G351" s="88"/>
      <c r="H351" s="88"/>
      <c r="I351" s="88"/>
      <c r="J351" s="89"/>
      <c r="K351" s="89"/>
      <c r="L351" s="90"/>
      <c r="M351" s="91" t="s">
        <v>113305</v>
      </c>
      <c r="N351" s="92" t="s">
        <v>113030</v>
      </c>
      <c r="O351" s="92" t="s">
        <v>113030</v>
      </c>
      <c r="P351" s="92" t="s">
        <v>113030</v>
      </c>
      <c r="Q351" s="92" t="s">
        <v>113030</v>
      </c>
      <c r="R351" s="117">
        <f>200000000+100000000</f>
        <v>300000000</v>
      </c>
      <c r="S351" s="95"/>
      <c r="T351" s="138"/>
      <c r="U351" s="91"/>
    </row>
    <row r="352" spans="1:21" x14ac:dyDescent="0.2">
      <c r="A352" s="322"/>
      <c r="B352" s="87"/>
      <c r="C352" s="88"/>
      <c r="D352" s="88"/>
      <c r="E352" s="88"/>
      <c r="F352" s="88"/>
      <c r="G352" s="88"/>
      <c r="H352" s="88"/>
      <c r="I352" s="88"/>
      <c r="J352" s="89"/>
      <c r="K352" s="89"/>
      <c r="L352" s="90"/>
      <c r="M352" s="91" t="s">
        <v>113304</v>
      </c>
      <c r="N352" s="92" t="s">
        <v>113030</v>
      </c>
      <c r="O352" s="92" t="s">
        <v>113030</v>
      </c>
      <c r="P352" s="92" t="s">
        <v>113030</v>
      </c>
      <c r="Q352" s="92" t="s">
        <v>113030</v>
      </c>
      <c r="R352" s="117">
        <v>100000000</v>
      </c>
      <c r="S352" s="95"/>
      <c r="T352" s="138"/>
      <c r="U352" s="91"/>
    </row>
    <row r="353" spans="1:21" ht="30" x14ac:dyDescent="0.2">
      <c r="A353" s="322"/>
      <c r="B353" s="319"/>
      <c r="C353" s="320"/>
      <c r="D353" s="320"/>
      <c r="E353" s="320"/>
      <c r="F353" s="320"/>
      <c r="G353" s="320"/>
      <c r="H353" s="320"/>
      <c r="I353" s="320"/>
      <c r="J353" s="321"/>
      <c r="K353" s="321" t="s">
        <v>113169</v>
      </c>
      <c r="L353" s="90">
        <v>90111500</v>
      </c>
      <c r="M353" s="91" t="s">
        <v>113214</v>
      </c>
      <c r="N353" s="92">
        <v>45311</v>
      </c>
      <c r="O353" s="92" t="s">
        <v>113180</v>
      </c>
      <c r="P353" s="93" t="s">
        <v>113178</v>
      </c>
      <c r="Q353" s="93" t="s">
        <v>113030</v>
      </c>
      <c r="R353" s="117">
        <f>49478465.53+404845.31</f>
        <v>49883310.840000004</v>
      </c>
      <c r="S353" s="95"/>
      <c r="T353" s="138"/>
      <c r="U353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3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U289:U1048576 U179:U269 U271:U286 U1:U157 U159:U177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U178 U158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Fredy Santisteban Sandoval</cp:lastModifiedBy>
  <cp:lastPrinted>2024-01-25T19:32:48Z</cp:lastPrinted>
  <dcterms:created xsi:type="dcterms:W3CDTF">2023-10-19T21:58:24Z</dcterms:created>
  <dcterms:modified xsi:type="dcterms:W3CDTF">2024-05-16T20:19:42Z</dcterms:modified>
</cp:coreProperties>
</file>